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Z:\Finance\Requests for Proposals\07-26 Central Dispatch\"/>
    </mc:Choice>
  </mc:AlternateContent>
  <xr:revisionPtr revIDLastSave="0" documentId="8_{5E029C2F-77DD-4955-8220-A8F1C1676C5B}" xr6:coauthVersionLast="47" xr6:coauthVersionMax="47" xr10:uidLastSave="{00000000-0000-0000-0000-000000000000}"/>
  <workbookProtection workbookAlgorithmName="SHA-512" workbookHashValue="y8GRuoHCc7j5Rg22j4/jCTUxw4/EduUjCSLK4mrpxjNy04mj6SJVflJAdWmRTEqP5PdUY41q4rHg0KBjw15N0w==" workbookSaltValue="WMheji99XsCMpOWBDmNzdQ==" workbookSpinCount="100000" lockStructure="1"/>
  <bookViews>
    <workbookView xWindow="-25530" yWindow="1770" windowWidth="21600" windowHeight="11235" tabRatio="849" firstSheet="2" activeTab="2" xr2:uid="{00000000-000D-0000-FFFF-FFFF00000000}"/>
  </bookViews>
  <sheets>
    <sheet name="Evaluation Overview" sheetId="6" state="hidden" r:id="rId1"/>
    <sheet name="Support Data" sheetId="2" state="hidden" r:id="rId2"/>
    <sheet name="MD General Requirements" sheetId="22" r:id="rId3"/>
    <sheet name="MD AVL" sheetId="23" r:id="rId4"/>
    <sheet name="MD Field Reporting" sheetId="32" r:id="rId5"/>
    <sheet name="MD Mapping - GIS" sheetId="29" r:id="rId6"/>
    <sheet name="MD Messaging" sheetId="31" r:id="rId7"/>
    <sheet name="MD Mobile Application" sheetId="24" r:id="rId8"/>
    <sheet name="MD State - NCIC" sheetId="30" r:id="rId9"/>
  </sheets>
  <definedNames>
    <definedName name="AvailabilityData">'Support Data'!$B$11:$C$14</definedName>
    <definedName name="AvailabilityType">'Support Data'!$B$11:$B$14</definedName>
    <definedName name="SpecData">'Support Data'!$B$4:$C$7</definedName>
    <definedName name="SpecType">'Support Data'!$B$4:$B$7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31" l="1"/>
  <c r="I24" i="31"/>
  <c r="I25" i="31"/>
  <c r="J23" i="31"/>
  <c r="J24" i="31"/>
  <c r="J25" i="31"/>
  <c r="I26" i="31"/>
  <c r="J26" i="31"/>
  <c r="J20" i="23"/>
  <c r="I20" i="23"/>
  <c r="K20" i="23" s="1"/>
  <c r="I137" i="22"/>
  <c r="J137" i="22"/>
  <c r="I10" i="22"/>
  <c r="J10" i="22"/>
  <c r="K24" i="31" l="1"/>
  <c r="K25" i="31"/>
  <c r="K23" i="31"/>
  <c r="K26" i="31"/>
  <c r="K137" i="22"/>
  <c r="K10" i="22"/>
  <c r="I81" i="22" l="1"/>
  <c r="I82" i="22"/>
  <c r="J81" i="22"/>
  <c r="J82" i="22"/>
  <c r="K82" i="22" l="1"/>
  <c r="K81" i="22"/>
  <c r="J21" i="29" l="1"/>
  <c r="J22" i="29"/>
  <c r="J23" i="29"/>
  <c r="J24" i="29"/>
  <c r="I21" i="29"/>
  <c r="K21" i="29" s="1"/>
  <c r="I22" i="29"/>
  <c r="K22" i="29" s="1"/>
  <c r="I23" i="29"/>
  <c r="K23" i="29" s="1"/>
  <c r="J55" i="24"/>
  <c r="J56" i="24"/>
  <c r="I55" i="24"/>
  <c r="I56" i="24"/>
  <c r="J120" i="22"/>
  <c r="J121" i="22"/>
  <c r="I120" i="22"/>
  <c r="I121" i="22"/>
  <c r="I119" i="22"/>
  <c r="J119" i="22"/>
  <c r="I122" i="22"/>
  <c r="J122" i="22"/>
  <c r="I123" i="22"/>
  <c r="J123" i="22"/>
  <c r="C7" i="22"/>
  <c r="C21" i="22"/>
  <c r="B21" i="22" s="1"/>
  <c r="C54" i="22"/>
  <c r="B54" i="22" s="1"/>
  <c r="C106" i="22"/>
  <c r="B106" i="22" s="1"/>
  <c r="C144" i="22"/>
  <c r="B144" i="22" s="1"/>
  <c r="I107" i="22"/>
  <c r="J107" i="22"/>
  <c r="I108" i="22"/>
  <c r="J108" i="22"/>
  <c r="I109" i="22"/>
  <c r="J109" i="22"/>
  <c r="I110" i="22"/>
  <c r="J110" i="22"/>
  <c r="B5" i="29"/>
  <c r="B6" i="29"/>
  <c r="B9" i="29"/>
  <c r="B10" i="29"/>
  <c r="E58" i="6"/>
  <c r="E48" i="6"/>
  <c r="E38" i="6"/>
  <c r="I18" i="6"/>
  <c r="H18" i="6"/>
  <c r="G18" i="6"/>
  <c r="F6" i="2"/>
  <c r="C18" i="6"/>
  <c r="C38" i="6" s="1"/>
  <c r="C12" i="32"/>
  <c r="B12" i="32"/>
  <c r="J51" i="32"/>
  <c r="I51" i="32"/>
  <c r="J50" i="32"/>
  <c r="I50" i="32"/>
  <c r="K50" i="32" s="1"/>
  <c r="J49" i="32"/>
  <c r="I49" i="32"/>
  <c r="J48" i="32"/>
  <c r="I48" i="32"/>
  <c r="K48" i="32" s="1"/>
  <c r="J47" i="32"/>
  <c r="I47" i="32"/>
  <c r="K47" i="32" s="1"/>
  <c r="J46" i="32"/>
  <c r="I46" i="32"/>
  <c r="K46" i="32" s="1"/>
  <c r="J45" i="32"/>
  <c r="I45" i="32"/>
  <c r="K45" i="32" s="1"/>
  <c r="J44" i="32"/>
  <c r="K44" i="32" s="1"/>
  <c r="I44" i="32"/>
  <c r="J43" i="32"/>
  <c r="I43" i="32"/>
  <c r="J42" i="32"/>
  <c r="I42" i="32"/>
  <c r="K42" i="32" s="1"/>
  <c r="J41" i="32"/>
  <c r="I41" i="32"/>
  <c r="J40" i="32"/>
  <c r="I40" i="32"/>
  <c r="J39" i="32"/>
  <c r="I39" i="32"/>
  <c r="K39" i="32" s="1"/>
  <c r="J38" i="32"/>
  <c r="I38" i="32"/>
  <c r="K38" i="32" s="1"/>
  <c r="J37" i="32"/>
  <c r="I37" i="32"/>
  <c r="K37" i="32" s="1"/>
  <c r="J36" i="32"/>
  <c r="K36" i="32" s="1"/>
  <c r="I36" i="32"/>
  <c r="J35" i="32"/>
  <c r="I35" i="32"/>
  <c r="K35" i="32" s="1"/>
  <c r="J34" i="32"/>
  <c r="I34" i="32"/>
  <c r="K34" i="32" s="1"/>
  <c r="J33" i="32"/>
  <c r="I33" i="32"/>
  <c r="J32" i="32"/>
  <c r="I32" i="32"/>
  <c r="K32" i="32" s="1"/>
  <c r="J31" i="32"/>
  <c r="I31" i="32"/>
  <c r="K31" i="32" s="1"/>
  <c r="J30" i="32"/>
  <c r="I30" i="32"/>
  <c r="K30" i="32" s="1"/>
  <c r="J29" i="32"/>
  <c r="I29" i="32"/>
  <c r="K29" i="32" s="1"/>
  <c r="J28" i="32"/>
  <c r="I28" i="32"/>
  <c r="K28" i="32" s="1"/>
  <c r="J27" i="32"/>
  <c r="I27" i="32"/>
  <c r="J26" i="32"/>
  <c r="I26" i="32"/>
  <c r="K26" i="32" s="1"/>
  <c r="J25" i="32"/>
  <c r="I25" i="32"/>
  <c r="J24" i="32"/>
  <c r="I24" i="32"/>
  <c r="K24" i="32" s="1"/>
  <c r="J23" i="32"/>
  <c r="I23" i="32"/>
  <c r="K23" i="32" s="1"/>
  <c r="J22" i="32"/>
  <c r="I22" i="32"/>
  <c r="K22" i="32" s="1"/>
  <c r="J21" i="32"/>
  <c r="I21" i="32"/>
  <c r="K21" i="32" s="1"/>
  <c r="J20" i="32"/>
  <c r="I20" i="32"/>
  <c r="K20" i="32" s="1"/>
  <c r="H20" i="32"/>
  <c r="I58" i="6" s="1"/>
  <c r="J19" i="32"/>
  <c r="I19" i="32"/>
  <c r="K19" i="32" s="1"/>
  <c r="H19" i="32"/>
  <c r="H58" i="6" s="1"/>
  <c r="J18" i="32"/>
  <c r="I18" i="32"/>
  <c r="H18" i="32"/>
  <c r="G58" i="6" s="1"/>
  <c r="D58" i="6" s="1"/>
  <c r="J17" i="32"/>
  <c r="I17" i="32"/>
  <c r="K17" i="32" s="1"/>
  <c r="H17" i="32"/>
  <c r="F58" i="6" s="1"/>
  <c r="J16" i="32"/>
  <c r="I16" i="32"/>
  <c r="K16" i="32" s="1"/>
  <c r="H16" i="32"/>
  <c r="I48" i="6" s="1"/>
  <c r="J15" i="32"/>
  <c r="I15" i="32"/>
  <c r="K15" i="32" s="1"/>
  <c r="H15" i="32"/>
  <c r="H48" i="6" s="1"/>
  <c r="J14" i="32"/>
  <c r="I14" i="32"/>
  <c r="K14" i="32" s="1"/>
  <c r="H14" i="32"/>
  <c r="G48" i="6" s="1"/>
  <c r="D48" i="6" s="1"/>
  <c r="J13" i="32"/>
  <c r="I13" i="32"/>
  <c r="H13" i="32"/>
  <c r="F48" i="6" s="1"/>
  <c r="J11" i="32"/>
  <c r="I11" i="32"/>
  <c r="K11" i="32" s="1"/>
  <c r="H11" i="32"/>
  <c r="I38" i="6" s="1"/>
  <c r="C11" i="32"/>
  <c r="B11" i="32"/>
  <c r="J10" i="32"/>
  <c r="I10" i="32"/>
  <c r="K10" i="32" s="1"/>
  <c r="H10" i="32"/>
  <c r="H38" i="6" s="1"/>
  <c r="B10" i="32"/>
  <c r="J9" i="32"/>
  <c r="K9" i="32" s="1"/>
  <c r="I9" i="32"/>
  <c r="H9" i="32"/>
  <c r="G38" i="6" s="1"/>
  <c r="D38" i="6" s="1"/>
  <c r="B9" i="32"/>
  <c r="J8" i="32"/>
  <c r="I8" i="32"/>
  <c r="K8" i="32" s="1"/>
  <c r="H8" i="32"/>
  <c r="F38" i="6" s="1"/>
  <c r="J7" i="32"/>
  <c r="I7" i="32"/>
  <c r="K7" i="32" s="1"/>
  <c r="H7" i="32"/>
  <c r="L6" i="2" s="1"/>
  <c r="C7" i="32"/>
  <c r="C8" i="32" s="1"/>
  <c r="B8" i="32" s="1"/>
  <c r="J6" i="32"/>
  <c r="I6" i="32"/>
  <c r="K6" i="32"/>
  <c r="H6" i="32"/>
  <c r="H28" i="6" s="1"/>
  <c r="B6" i="32"/>
  <c r="J5" i="32"/>
  <c r="I5" i="32"/>
  <c r="K5" i="32"/>
  <c r="H5" i="32"/>
  <c r="G28" i="6" s="1"/>
  <c r="B5" i="32"/>
  <c r="J4" i="32"/>
  <c r="I4" i="32"/>
  <c r="K4" i="32" s="1"/>
  <c r="H4" i="32"/>
  <c r="F18" i="6" s="1"/>
  <c r="H3" i="32"/>
  <c r="E18" i="6" s="1"/>
  <c r="H6" i="2"/>
  <c r="J16" i="23"/>
  <c r="J17" i="23"/>
  <c r="J18" i="23"/>
  <c r="J19" i="23"/>
  <c r="I16" i="23"/>
  <c r="K16" i="23" s="1"/>
  <c r="I17" i="23"/>
  <c r="K17" i="23" s="1"/>
  <c r="I18" i="23"/>
  <c r="K18" i="23" s="1"/>
  <c r="I19" i="23"/>
  <c r="J6" i="2"/>
  <c r="I28" i="6"/>
  <c r="K40" i="32"/>
  <c r="C13" i="32"/>
  <c r="B13" i="32" s="1"/>
  <c r="H7" i="30"/>
  <c r="H6" i="30"/>
  <c r="K10" i="2" s="1"/>
  <c r="H5" i="30"/>
  <c r="J10" i="2" s="1"/>
  <c r="H4" i="30"/>
  <c r="F32" i="6" s="1"/>
  <c r="H3" i="30"/>
  <c r="E22" i="6" s="1"/>
  <c r="H7" i="24"/>
  <c r="I31" i="6" s="1"/>
  <c r="H6" i="24"/>
  <c r="K9" i="2" s="1"/>
  <c r="H5" i="24"/>
  <c r="J9" i="2" s="1"/>
  <c r="H4" i="24"/>
  <c r="F21" i="6" s="1"/>
  <c r="H3" i="24"/>
  <c r="H9" i="2" s="1"/>
  <c r="H7" i="31"/>
  <c r="H6" i="31"/>
  <c r="H5" i="31"/>
  <c r="H4" i="31"/>
  <c r="F20" i="6" s="1"/>
  <c r="H3" i="31"/>
  <c r="E30" i="6" s="1"/>
  <c r="H7" i="29"/>
  <c r="L7" i="2" s="1"/>
  <c r="H6" i="29"/>
  <c r="K7" i="2" s="1"/>
  <c r="H5" i="29"/>
  <c r="J7" i="2" s="1"/>
  <c r="H4" i="29"/>
  <c r="F19" i="6" s="1"/>
  <c r="H3" i="29"/>
  <c r="E29" i="6" s="1"/>
  <c r="H7" i="23"/>
  <c r="L5" i="2" s="1"/>
  <c r="H6" i="23"/>
  <c r="H27" i="6" s="1"/>
  <c r="H5" i="23"/>
  <c r="G27" i="6" s="1"/>
  <c r="H4" i="23"/>
  <c r="I5" i="2" s="1"/>
  <c r="H3" i="23"/>
  <c r="E27" i="6" s="1"/>
  <c r="H9" i="22"/>
  <c r="L4" i="2" s="1"/>
  <c r="H7" i="22"/>
  <c r="K4" i="2" s="1"/>
  <c r="H6" i="22"/>
  <c r="G26" i="6" s="1"/>
  <c r="H5" i="22"/>
  <c r="F16" i="6" s="1"/>
  <c r="H3" i="22"/>
  <c r="E26" i="6" s="1"/>
  <c r="C49" i="24"/>
  <c r="B49" i="24" s="1"/>
  <c r="C35" i="24"/>
  <c r="B35" i="24" s="1"/>
  <c r="C27" i="24"/>
  <c r="B27" i="24" s="1"/>
  <c r="J54" i="24"/>
  <c r="I54" i="24"/>
  <c r="K54" i="24" s="1"/>
  <c r="J53" i="24"/>
  <c r="I53" i="24"/>
  <c r="K53" i="24"/>
  <c r="J52" i="24"/>
  <c r="I52" i="24"/>
  <c r="J51" i="24"/>
  <c r="K51" i="24" s="1"/>
  <c r="I51" i="24"/>
  <c r="J50" i="24"/>
  <c r="I50" i="24"/>
  <c r="J48" i="24"/>
  <c r="K48" i="24" s="1"/>
  <c r="I48" i="24"/>
  <c r="J47" i="24"/>
  <c r="I47" i="24"/>
  <c r="K47" i="24" s="1"/>
  <c r="J46" i="24"/>
  <c r="I46" i="24"/>
  <c r="K46" i="24" s="1"/>
  <c r="J45" i="24"/>
  <c r="I45" i="24"/>
  <c r="K45" i="24" s="1"/>
  <c r="J44" i="24"/>
  <c r="I44" i="24"/>
  <c r="K44" i="24"/>
  <c r="J43" i="24"/>
  <c r="I43" i="24"/>
  <c r="J42" i="24"/>
  <c r="I42" i="24"/>
  <c r="J41" i="24"/>
  <c r="I41" i="24"/>
  <c r="J40" i="24"/>
  <c r="I40" i="24"/>
  <c r="K40" i="24" s="1"/>
  <c r="J39" i="24"/>
  <c r="I39" i="24"/>
  <c r="J38" i="24"/>
  <c r="I38" i="24"/>
  <c r="J37" i="24"/>
  <c r="I37" i="24"/>
  <c r="K37" i="24" s="1"/>
  <c r="J36" i="24"/>
  <c r="I36" i="24"/>
  <c r="K36" i="24" s="1"/>
  <c r="J34" i="24"/>
  <c r="I34" i="24"/>
  <c r="J33" i="24"/>
  <c r="I33" i="24"/>
  <c r="K33" i="24" s="1"/>
  <c r="J32" i="24"/>
  <c r="I32" i="24"/>
  <c r="J31" i="24"/>
  <c r="I31" i="24"/>
  <c r="K31" i="24" s="1"/>
  <c r="J30" i="24"/>
  <c r="I30" i="24"/>
  <c r="J29" i="24"/>
  <c r="I29" i="24"/>
  <c r="J28" i="24"/>
  <c r="I28" i="24"/>
  <c r="K28" i="24" s="1"/>
  <c r="J26" i="24"/>
  <c r="I26" i="24"/>
  <c r="K26" i="24" s="1"/>
  <c r="J25" i="24"/>
  <c r="I25" i="24"/>
  <c r="J24" i="24"/>
  <c r="I24" i="24"/>
  <c r="K24" i="24" s="1"/>
  <c r="C22" i="31"/>
  <c r="B22" i="31" s="1"/>
  <c r="C79" i="29"/>
  <c r="B79" i="29" s="1"/>
  <c r="C72" i="29"/>
  <c r="B72" i="29" s="1"/>
  <c r="C42" i="29"/>
  <c r="B42" i="29" s="1"/>
  <c r="I4" i="29"/>
  <c r="J4" i="29"/>
  <c r="I5" i="29"/>
  <c r="J5" i="29"/>
  <c r="I6" i="29"/>
  <c r="J6" i="29"/>
  <c r="C7" i="29"/>
  <c r="C8" i="29" s="1"/>
  <c r="B8" i="29" s="1"/>
  <c r="B7" i="29"/>
  <c r="I7" i="29"/>
  <c r="J7" i="29"/>
  <c r="H8" i="29"/>
  <c r="F39" i="6" s="1"/>
  <c r="I8" i="29"/>
  <c r="J8" i="29"/>
  <c r="H9" i="29"/>
  <c r="G39" i="6" s="1"/>
  <c r="D39" i="6" s="1"/>
  <c r="I9" i="29"/>
  <c r="J9" i="29"/>
  <c r="H10" i="29"/>
  <c r="H39" i="6" s="1"/>
  <c r="I10" i="29"/>
  <c r="J10" i="29"/>
  <c r="C11" i="29"/>
  <c r="H11" i="29"/>
  <c r="I39" i="6" s="1"/>
  <c r="I11" i="29"/>
  <c r="K11" i="29" s="1"/>
  <c r="J11" i="29"/>
  <c r="H12" i="29"/>
  <c r="F49" i="6" s="1"/>
  <c r="I12" i="29"/>
  <c r="J12" i="29"/>
  <c r="H13" i="29"/>
  <c r="G49" i="6" s="1"/>
  <c r="D49" i="6" s="1"/>
  <c r="I13" i="29"/>
  <c r="J13" i="29"/>
  <c r="H14" i="29"/>
  <c r="H49" i="6" s="1"/>
  <c r="I14" i="29"/>
  <c r="J14" i="29"/>
  <c r="H15" i="29"/>
  <c r="I49" i="6" s="1"/>
  <c r="I15" i="29"/>
  <c r="J15" i="29"/>
  <c r="H16" i="29"/>
  <c r="F59" i="6" s="1"/>
  <c r="I16" i="29"/>
  <c r="K16" i="29" s="1"/>
  <c r="J16" i="29"/>
  <c r="H17" i="29"/>
  <c r="G59" i="6" s="1"/>
  <c r="D59" i="6" s="1"/>
  <c r="I17" i="29"/>
  <c r="J17" i="29"/>
  <c r="H18" i="29"/>
  <c r="H59" i="6" s="1"/>
  <c r="I18" i="29"/>
  <c r="K18" i="29" s="1"/>
  <c r="J18" i="29"/>
  <c r="H19" i="29"/>
  <c r="I59" i="6" s="1"/>
  <c r="I19" i="29"/>
  <c r="K19" i="29" s="1"/>
  <c r="J19" i="29"/>
  <c r="I20" i="29"/>
  <c r="J20" i="29"/>
  <c r="I24" i="29"/>
  <c r="K24" i="29" s="1"/>
  <c r="I25" i="29"/>
  <c r="K25" i="29" s="1"/>
  <c r="J25" i="29"/>
  <c r="I26" i="29"/>
  <c r="K26" i="29" s="1"/>
  <c r="J26" i="29"/>
  <c r="I27" i="29"/>
  <c r="K27" i="29" s="1"/>
  <c r="J27" i="29"/>
  <c r="I28" i="29"/>
  <c r="K28" i="29" s="1"/>
  <c r="J28" i="29"/>
  <c r="I29" i="29"/>
  <c r="K29" i="29" s="1"/>
  <c r="J29" i="29"/>
  <c r="I30" i="29"/>
  <c r="K30" i="29" s="1"/>
  <c r="J30" i="29"/>
  <c r="I31" i="29"/>
  <c r="K31" i="29" s="1"/>
  <c r="J31" i="29"/>
  <c r="I32" i="29"/>
  <c r="K32" i="29" s="1"/>
  <c r="J32" i="29"/>
  <c r="I33" i="29"/>
  <c r="K33" i="29" s="1"/>
  <c r="J33" i="29"/>
  <c r="I34" i="29"/>
  <c r="J34" i="29"/>
  <c r="I35" i="29"/>
  <c r="K35" i="29" s="1"/>
  <c r="J35" i="29"/>
  <c r="I36" i="29"/>
  <c r="K36" i="29" s="1"/>
  <c r="J36" i="29"/>
  <c r="I37" i="29"/>
  <c r="J37" i="29"/>
  <c r="I38" i="29"/>
  <c r="J38" i="29"/>
  <c r="I39" i="29"/>
  <c r="J39" i="29"/>
  <c r="I40" i="29"/>
  <c r="K40" i="29" s="1"/>
  <c r="J40" i="29"/>
  <c r="I41" i="29"/>
  <c r="J41" i="29"/>
  <c r="I43" i="29"/>
  <c r="K43" i="29" s="1"/>
  <c r="J43" i="29"/>
  <c r="I44" i="29"/>
  <c r="K44" i="29" s="1"/>
  <c r="J44" i="29"/>
  <c r="I45" i="29"/>
  <c r="K45" i="29" s="1"/>
  <c r="J45" i="29"/>
  <c r="I46" i="29"/>
  <c r="K46" i="29" s="1"/>
  <c r="J46" i="29"/>
  <c r="I47" i="29"/>
  <c r="J47" i="29"/>
  <c r="K47" i="29" s="1"/>
  <c r="I48" i="29"/>
  <c r="J48" i="29"/>
  <c r="I49" i="29"/>
  <c r="K49" i="29" s="1"/>
  <c r="J49" i="29"/>
  <c r="I50" i="29"/>
  <c r="J50" i="29"/>
  <c r="I51" i="29"/>
  <c r="K51" i="29" s="1"/>
  <c r="J51" i="29"/>
  <c r="I52" i="29"/>
  <c r="K52" i="29" s="1"/>
  <c r="J52" i="29"/>
  <c r="I53" i="29"/>
  <c r="J53" i="29"/>
  <c r="I54" i="29"/>
  <c r="K54" i="29" s="1"/>
  <c r="J54" i="29"/>
  <c r="I55" i="29"/>
  <c r="J55" i="29"/>
  <c r="I56" i="29"/>
  <c r="K56" i="29" s="1"/>
  <c r="J56" i="29"/>
  <c r="I57" i="29"/>
  <c r="J57" i="29"/>
  <c r="I58" i="29"/>
  <c r="J58" i="29"/>
  <c r="I59" i="29"/>
  <c r="J59" i="29"/>
  <c r="I60" i="29"/>
  <c r="K60" i="29" s="1"/>
  <c r="J60" i="29"/>
  <c r="I61" i="29"/>
  <c r="K61" i="29" s="1"/>
  <c r="J61" i="29"/>
  <c r="I62" i="29"/>
  <c r="K62" i="29" s="1"/>
  <c r="J62" i="29"/>
  <c r="I63" i="29"/>
  <c r="K63" i="29" s="1"/>
  <c r="J63" i="29"/>
  <c r="I64" i="29"/>
  <c r="K64" i="29" s="1"/>
  <c r="J64" i="29"/>
  <c r="I65" i="29"/>
  <c r="J65" i="29"/>
  <c r="I66" i="29"/>
  <c r="K66" i="29" s="1"/>
  <c r="J66" i="29"/>
  <c r="I67" i="29"/>
  <c r="J67" i="29"/>
  <c r="I68" i="29"/>
  <c r="K68" i="29" s="1"/>
  <c r="J68" i="29"/>
  <c r="I69" i="29"/>
  <c r="K69" i="29" s="1"/>
  <c r="J69" i="29"/>
  <c r="I70" i="29"/>
  <c r="J70" i="29"/>
  <c r="I71" i="29"/>
  <c r="K71" i="29" s="1"/>
  <c r="J71" i="29"/>
  <c r="I73" i="29"/>
  <c r="J73" i="29"/>
  <c r="K73" i="29"/>
  <c r="I74" i="29"/>
  <c r="K74" i="29" s="1"/>
  <c r="J74" i="29"/>
  <c r="I75" i="29"/>
  <c r="J75" i="29"/>
  <c r="I76" i="29"/>
  <c r="J76" i="29"/>
  <c r="I77" i="29"/>
  <c r="J77" i="29"/>
  <c r="K77" i="29"/>
  <c r="I78" i="29"/>
  <c r="K78" i="29" s="1"/>
  <c r="J78" i="29"/>
  <c r="I80" i="29"/>
  <c r="K80" i="29" s="1"/>
  <c r="J80" i="29"/>
  <c r="I81" i="29"/>
  <c r="K81" i="29" s="1"/>
  <c r="J81" i="29"/>
  <c r="I82" i="29"/>
  <c r="K82" i="29" s="1"/>
  <c r="J82" i="29"/>
  <c r="I83" i="29"/>
  <c r="J83" i="29"/>
  <c r="K83" i="29"/>
  <c r="I84" i="29"/>
  <c r="J84" i="29"/>
  <c r="I85" i="29"/>
  <c r="J85" i="29"/>
  <c r="I86" i="29"/>
  <c r="J86" i="29"/>
  <c r="K86" i="29" s="1"/>
  <c r="I87" i="29"/>
  <c r="K87" i="29" s="1"/>
  <c r="J87" i="29"/>
  <c r="I88" i="29"/>
  <c r="K88" i="29" s="1"/>
  <c r="J88" i="29"/>
  <c r="C195" i="22"/>
  <c r="B195" i="22" s="1"/>
  <c r="C187" i="22"/>
  <c r="B187" i="22" s="1"/>
  <c r="C178" i="22"/>
  <c r="B178" i="22" s="1"/>
  <c r="C169" i="22"/>
  <c r="B169" i="22" s="1"/>
  <c r="C164" i="22"/>
  <c r="B164" i="22" s="1"/>
  <c r="J203" i="22"/>
  <c r="I203" i="22"/>
  <c r="J202" i="22"/>
  <c r="I202" i="22"/>
  <c r="J201" i="22"/>
  <c r="I201" i="22"/>
  <c r="J200" i="22"/>
  <c r="I200" i="22"/>
  <c r="J199" i="22"/>
  <c r="I199" i="22"/>
  <c r="J198" i="22"/>
  <c r="I198" i="22"/>
  <c r="J197" i="22"/>
  <c r="I197" i="22"/>
  <c r="J196" i="22"/>
  <c r="I196" i="22"/>
  <c r="J194" i="22"/>
  <c r="I194" i="22"/>
  <c r="J193" i="22"/>
  <c r="I193" i="22"/>
  <c r="J192" i="22"/>
  <c r="I192" i="22"/>
  <c r="J191" i="22"/>
  <c r="I191" i="22"/>
  <c r="J190" i="22"/>
  <c r="I190" i="22"/>
  <c r="K190" i="22" s="1"/>
  <c r="J189" i="22"/>
  <c r="I189" i="22"/>
  <c r="J188" i="22"/>
  <c r="I188" i="22"/>
  <c r="J186" i="22"/>
  <c r="I186" i="22"/>
  <c r="J185" i="22"/>
  <c r="I185" i="22"/>
  <c r="J184" i="22"/>
  <c r="I184" i="22"/>
  <c r="J183" i="22"/>
  <c r="I183" i="22"/>
  <c r="J182" i="22"/>
  <c r="I182" i="22"/>
  <c r="J181" i="22"/>
  <c r="I181" i="22"/>
  <c r="J180" i="22"/>
  <c r="I180" i="22"/>
  <c r="J179" i="22"/>
  <c r="I179" i="22"/>
  <c r="J176" i="22"/>
  <c r="I176" i="22"/>
  <c r="J175" i="22"/>
  <c r="I175" i="22"/>
  <c r="J174" i="22"/>
  <c r="I174" i="22"/>
  <c r="J173" i="22"/>
  <c r="I173" i="22"/>
  <c r="J172" i="22"/>
  <c r="I172" i="22"/>
  <c r="J171" i="22"/>
  <c r="I171" i="22"/>
  <c r="K171" i="22" s="1"/>
  <c r="J170" i="22"/>
  <c r="I170" i="22"/>
  <c r="J167" i="22"/>
  <c r="I167" i="22"/>
  <c r="J166" i="22"/>
  <c r="I166" i="22"/>
  <c r="J165" i="22"/>
  <c r="I165" i="22"/>
  <c r="J163" i="22"/>
  <c r="I163" i="22"/>
  <c r="J162" i="22"/>
  <c r="I162" i="22"/>
  <c r="J161" i="22"/>
  <c r="I161" i="22"/>
  <c r="J160" i="22"/>
  <c r="I160" i="22"/>
  <c r="J159" i="22"/>
  <c r="I159" i="22"/>
  <c r="J158" i="22"/>
  <c r="I158" i="22"/>
  <c r="J157" i="22"/>
  <c r="I157" i="22"/>
  <c r="J156" i="22"/>
  <c r="I156" i="22"/>
  <c r="J155" i="22"/>
  <c r="I155" i="22"/>
  <c r="J154" i="22"/>
  <c r="I154" i="22"/>
  <c r="J153" i="22"/>
  <c r="I153" i="22"/>
  <c r="J152" i="22"/>
  <c r="I152" i="22"/>
  <c r="J151" i="22"/>
  <c r="I151" i="22"/>
  <c r="J150" i="22"/>
  <c r="I150" i="22"/>
  <c r="J149" i="22"/>
  <c r="I149" i="22"/>
  <c r="J148" i="22"/>
  <c r="I148" i="22"/>
  <c r="J147" i="22"/>
  <c r="I147" i="22"/>
  <c r="J146" i="22"/>
  <c r="I146" i="22"/>
  <c r="K146" i="22" s="1"/>
  <c r="J145" i="22"/>
  <c r="I145" i="22"/>
  <c r="J143" i="22"/>
  <c r="I143" i="22"/>
  <c r="K143" i="22" s="1"/>
  <c r="J142" i="22"/>
  <c r="I142" i="22"/>
  <c r="J141" i="22"/>
  <c r="I141" i="22"/>
  <c r="J140" i="22"/>
  <c r="I140" i="22"/>
  <c r="J139" i="22"/>
  <c r="I139" i="22"/>
  <c r="J136" i="22"/>
  <c r="I136" i="22"/>
  <c r="J135" i="22"/>
  <c r="I135" i="22"/>
  <c r="J134" i="22"/>
  <c r="I134" i="22"/>
  <c r="J133" i="22"/>
  <c r="I133" i="22"/>
  <c r="J132" i="22"/>
  <c r="I132" i="22"/>
  <c r="J131" i="22"/>
  <c r="I131" i="22"/>
  <c r="J130" i="22"/>
  <c r="I130" i="22"/>
  <c r="J129" i="22"/>
  <c r="I129" i="22"/>
  <c r="J128" i="22"/>
  <c r="I128" i="22"/>
  <c r="J127" i="22"/>
  <c r="I127" i="22"/>
  <c r="K127" i="22" s="1"/>
  <c r="J126" i="22"/>
  <c r="I126" i="22"/>
  <c r="J125" i="22"/>
  <c r="I125" i="22"/>
  <c r="K125" i="22" s="1"/>
  <c r="J124" i="22"/>
  <c r="I124" i="22"/>
  <c r="J118" i="22"/>
  <c r="I118" i="22"/>
  <c r="J117" i="22"/>
  <c r="I117" i="22"/>
  <c r="J116" i="22"/>
  <c r="I116" i="22"/>
  <c r="J115" i="22"/>
  <c r="I115" i="22"/>
  <c r="J114" i="22"/>
  <c r="I114" i="22"/>
  <c r="K114" i="22" s="1"/>
  <c r="J113" i="22"/>
  <c r="I113" i="22"/>
  <c r="J112" i="22"/>
  <c r="I112" i="22"/>
  <c r="J111" i="22"/>
  <c r="I111" i="22"/>
  <c r="J105" i="22"/>
  <c r="I105" i="22"/>
  <c r="J104" i="22"/>
  <c r="I104" i="22"/>
  <c r="J103" i="22"/>
  <c r="I103" i="22"/>
  <c r="J102" i="22"/>
  <c r="I102" i="22"/>
  <c r="J101" i="22"/>
  <c r="I101" i="22"/>
  <c r="J100" i="22"/>
  <c r="I100" i="22"/>
  <c r="J99" i="22"/>
  <c r="I99" i="22"/>
  <c r="J98" i="22"/>
  <c r="I98" i="22"/>
  <c r="J97" i="22"/>
  <c r="I97" i="22"/>
  <c r="K97" i="22" s="1"/>
  <c r="J96" i="22"/>
  <c r="I96" i="22"/>
  <c r="J95" i="22"/>
  <c r="I95" i="22"/>
  <c r="J94" i="22"/>
  <c r="I94" i="22"/>
  <c r="J93" i="22"/>
  <c r="I93" i="22"/>
  <c r="J92" i="22"/>
  <c r="I92" i="22"/>
  <c r="J91" i="22"/>
  <c r="I91" i="22"/>
  <c r="J90" i="22"/>
  <c r="I90" i="22"/>
  <c r="J89" i="22"/>
  <c r="I89" i="22"/>
  <c r="J88" i="22"/>
  <c r="I88" i="22"/>
  <c r="J87" i="22"/>
  <c r="I87" i="22"/>
  <c r="J86" i="22"/>
  <c r="I86" i="22"/>
  <c r="J85" i="22"/>
  <c r="I85" i="22"/>
  <c r="J84" i="22"/>
  <c r="I84" i="22"/>
  <c r="J83" i="22"/>
  <c r="I83" i="22"/>
  <c r="J80" i="22"/>
  <c r="I80" i="22"/>
  <c r="J79" i="22"/>
  <c r="I79" i="22"/>
  <c r="J78" i="22"/>
  <c r="I78" i="22"/>
  <c r="J77" i="22"/>
  <c r="I77" i="22"/>
  <c r="J76" i="22"/>
  <c r="I76" i="22"/>
  <c r="J75" i="22"/>
  <c r="I75" i="22"/>
  <c r="K75" i="22" s="1"/>
  <c r="J74" i="22"/>
  <c r="I74" i="22"/>
  <c r="J73" i="22"/>
  <c r="I73" i="22"/>
  <c r="J72" i="22"/>
  <c r="I72" i="22"/>
  <c r="J71" i="22"/>
  <c r="I71" i="22"/>
  <c r="J70" i="22"/>
  <c r="I70" i="22"/>
  <c r="J69" i="22"/>
  <c r="I69" i="22"/>
  <c r="J68" i="22"/>
  <c r="I68" i="22"/>
  <c r="J67" i="22"/>
  <c r="I67" i="22"/>
  <c r="J66" i="22"/>
  <c r="I66" i="22"/>
  <c r="J65" i="22"/>
  <c r="I65" i="22"/>
  <c r="J64" i="22"/>
  <c r="I64" i="22"/>
  <c r="J63" i="22"/>
  <c r="I63" i="22"/>
  <c r="J62" i="22"/>
  <c r="I62" i="22"/>
  <c r="J61" i="22"/>
  <c r="I61" i="22"/>
  <c r="J60" i="22"/>
  <c r="I60" i="22"/>
  <c r="J59" i="22"/>
  <c r="I59" i="22"/>
  <c r="J58" i="22"/>
  <c r="I58" i="22"/>
  <c r="J57" i="22"/>
  <c r="I57" i="22"/>
  <c r="J56" i="22"/>
  <c r="I56" i="22"/>
  <c r="J55" i="22"/>
  <c r="I55" i="22"/>
  <c r="C12" i="29"/>
  <c r="C13" i="29" s="1"/>
  <c r="B13" i="29" s="1"/>
  <c r="B11" i="29"/>
  <c r="K8" i="29"/>
  <c r="K84" i="29"/>
  <c r="K59" i="29"/>
  <c r="K37" i="29"/>
  <c r="K76" i="29"/>
  <c r="K38" i="29"/>
  <c r="K65" i="29"/>
  <c r="K58" i="29"/>
  <c r="K13" i="29"/>
  <c r="K10" i="29"/>
  <c r="K4" i="29"/>
  <c r="B6" i="30"/>
  <c r="B5" i="30"/>
  <c r="B7" i="24"/>
  <c r="B6" i="24"/>
  <c r="C5" i="31"/>
  <c r="B5" i="31"/>
  <c r="B6" i="23"/>
  <c r="B5" i="23"/>
  <c r="I28" i="22"/>
  <c r="J28" i="22"/>
  <c r="B6" i="22"/>
  <c r="E62" i="6"/>
  <c r="E61" i="6"/>
  <c r="E60" i="6"/>
  <c r="E59" i="6"/>
  <c r="E57" i="6"/>
  <c r="E56" i="6"/>
  <c r="E52" i="6"/>
  <c r="E51" i="6"/>
  <c r="E50" i="6"/>
  <c r="E49" i="6"/>
  <c r="E47" i="6"/>
  <c r="E46" i="6"/>
  <c r="E42" i="6"/>
  <c r="E41" i="6"/>
  <c r="E40" i="6"/>
  <c r="E39" i="6"/>
  <c r="E37" i="6"/>
  <c r="E36" i="6"/>
  <c r="B55" i="6"/>
  <c r="B45" i="6"/>
  <c r="B35" i="6"/>
  <c r="B25" i="6"/>
  <c r="I22" i="6"/>
  <c r="I21" i="6"/>
  <c r="I20" i="6"/>
  <c r="I19" i="6"/>
  <c r="I17" i="6"/>
  <c r="I16" i="6"/>
  <c r="H22" i="6"/>
  <c r="H21" i="6"/>
  <c r="H20" i="6"/>
  <c r="H19" i="6"/>
  <c r="H17" i="6"/>
  <c r="H16" i="6"/>
  <c r="G22" i="6"/>
  <c r="G21" i="6"/>
  <c r="G20" i="6"/>
  <c r="G19" i="6"/>
  <c r="G17" i="6"/>
  <c r="G16" i="6"/>
  <c r="F10" i="2"/>
  <c r="C22" i="6"/>
  <c r="C32" i="6" s="1"/>
  <c r="F9" i="2"/>
  <c r="C21" i="6" s="1"/>
  <c r="C31" i="6" s="1"/>
  <c r="F8" i="2"/>
  <c r="C20" i="6" s="1"/>
  <c r="F7" i="2"/>
  <c r="C19" i="6" s="1"/>
  <c r="C29" i="6" s="1"/>
  <c r="F5" i="2"/>
  <c r="C17" i="6"/>
  <c r="C47" i="6" s="1"/>
  <c r="F4" i="2"/>
  <c r="J29" i="31"/>
  <c r="I29" i="31"/>
  <c r="J28" i="31"/>
  <c r="I28" i="31"/>
  <c r="J27" i="31"/>
  <c r="I27" i="31"/>
  <c r="J21" i="31"/>
  <c r="I21" i="31"/>
  <c r="K21" i="31" s="1"/>
  <c r="J20" i="31"/>
  <c r="I20" i="31"/>
  <c r="K20" i="31" s="1"/>
  <c r="J19" i="31"/>
  <c r="I19" i="31"/>
  <c r="H19" i="31"/>
  <c r="I60" i="6" s="1"/>
  <c r="J18" i="31"/>
  <c r="I18" i="31"/>
  <c r="K18" i="31" s="1"/>
  <c r="H18" i="31"/>
  <c r="H60" i="6" s="1"/>
  <c r="J17" i="31"/>
  <c r="I17" i="31"/>
  <c r="H17" i="31"/>
  <c r="G60" i="6" s="1"/>
  <c r="D60" i="6" s="1"/>
  <c r="J16" i="31"/>
  <c r="I16" i="31"/>
  <c r="K16" i="31" s="1"/>
  <c r="H16" i="31"/>
  <c r="F60" i="6" s="1"/>
  <c r="J15" i="31"/>
  <c r="I15" i="31"/>
  <c r="K15" i="31" s="1"/>
  <c r="H15" i="31"/>
  <c r="I50" i="6" s="1"/>
  <c r="J14" i="31"/>
  <c r="I14" i="31"/>
  <c r="K14" i="31" s="1"/>
  <c r="H14" i="31"/>
  <c r="H50" i="6" s="1"/>
  <c r="J13" i="31"/>
  <c r="I13" i="31"/>
  <c r="K13" i="31" s="1"/>
  <c r="H13" i="31"/>
  <c r="G50" i="6" s="1"/>
  <c r="D50" i="6" s="1"/>
  <c r="J12" i="31"/>
  <c r="I12" i="31"/>
  <c r="H12" i="31"/>
  <c r="F50" i="6" s="1"/>
  <c r="J11" i="31"/>
  <c r="I11" i="31"/>
  <c r="H11" i="31"/>
  <c r="I40" i="6" s="1"/>
  <c r="J10" i="31"/>
  <c r="I10" i="31"/>
  <c r="H10" i="31"/>
  <c r="H40" i="6" s="1"/>
  <c r="J9" i="31"/>
  <c r="I9" i="31"/>
  <c r="K9" i="31" s="1"/>
  <c r="H9" i="31"/>
  <c r="G40" i="6" s="1"/>
  <c r="D40" i="6" s="1"/>
  <c r="J8" i="31"/>
  <c r="I8" i="31"/>
  <c r="K8" i="31" s="1"/>
  <c r="H8" i="31"/>
  <c r="F40" i="6" s="1"/>
  <c r="J7" i="31"/>
  <c r="I7" i="31"/>
  <c r="L8" i="2"/>
  <c r="J6" i="31"/>
  <c r="I6" i="31"/>
  <c r="K8" i="2"/>
  <c r="J5" i="31"/>
  <c r="I5" i="31"/>
  <c r="K5" i="31" s="1"/>
  <c r="J8" i="2"/>
  <c r="J4" i="31"/>
  <c r="I4" i="31"/>
  <c r="I8" i="2"/>
  <c r="J22" i="30"/>
  <c r="I22" i="30"/>
  <c r="K22" i="30" s="1"/>
  <c r="J21" i="30"/>
  <c r="I21" i="30"/>
  <c r="K21" i="30" s="1"/>
  <c r="J20" i="30"/>
  <c r="I20" i="30"/>
  <c r="K20" i="30" s="1"/>
  <c r="J19" i="30"/>
  <c r="I19" i="30"/>
  <c r="K19" i="30" s="1"/>
  <c r="H19" i="30"/>
  <c r="I62" i="6" s="1"/>
  <c r="J18" i="30"/>
  <c r="I18" i="30"/>
  <c r="H18" i="30"/>
  <c r="H62" i="6" s="1"/>
  <c r="J17" i="30"/>
  <c r="I17" i="30"/>
  <c r="K17" i="30" s="1"/>
  <c r="H17" i="30"/>
  <c r="G62" i="6" s="1"/>
  <c r="D62" i="6" s="1"/>
  <c r="J16" i="30"/>
  <c r="I16" i="30"/>
  <c r="H16" i="30"/>
  <c r="F62" i="6" s="1"/>
  <c r="J15" i="30"/>
  <c r="I15" i="30"/>
  <c r="K15" i="30" s="1"/>
  <c r="H15" i="30"/>
  <c r="I52" i="6" s="1"/>
  <c r="J14" i="30"/>
  <c r="I14" i="30"/>
  <c r="K14" i="30" s="1"/>
  <c r="H14" i="30"/>
  <c r="H52" i="6" s="1"/>
  <c r="J13" i="30"/>
  <c r="I13" i="30"/>
  <c r="K13" i="30" s="1"/>
  <c r="H13" i="30"/>
  <c r="G52" i="6" s="1"/>
  <c r="D52" i="6" s="1"/>
  <c r="J12" i="30"/>
  <c r="I12" i="30"/>
  <c r="K12" i="30"/>
  <c r="H12" i="30"/>
  <c r="F52" i="6" s="1"/>
  <c r="J11" i="30"/>
  <c r="I11" i="30"/>
  <c r="K11" i="30"/>
  <c r="H11" i="30"/>
  <c r="I42" i="6" s="1"/>
  <c r="J10" i="30"/>
  <c r="I10" i="30"/>
  <c r="K10" i="30"/>
  <c r="H10" i="30"/>
  <c r="H42" i="6" s="1"/>
  <c r="J9" i="30"/>
  <c r="I9" i="30"/>
  <c r="K9" i="30" s="1"/>
  <c r="H9" i="30"/>
  <c r="G42" i="6" s="1"/>
  <c r="D42" i="6" s="1"/>
  <c r="J8" i="30"/>
  <c r="I8" i="30"/>
  <c r="K8" i="30" s="1"/>
  <c r="H8" i="30"/>
  <c r="F42" i="6" s="1"/>
  <c r="J7" i="30"/>
  <c r="I7" i="30"/>
  <c r="L10" i="2"/>
  <c r="C7" i="30"/>
  <c r="B7" i="30"/>
  <c r="J6" i="30"/>
  <c r="I6" i="30"/>
  <c r="K6" i="30"/>
  <c r="J5" i="30"/>
  <c r="I5" i="30"/>
  <c r="K5" i="30" s="1"/>
  <c r="J4" i="30"/>
  <c r="I4" i="30"/>
  <c r="K4" i="30" s="1"/>
  <c r="J23" i="24"/>
  <c r="I23" i="24"/>
  <c r="J22" i="24"/>
  <c r="I22" i="24"/>
  <c r="K22" i="24" s="1"/>
  <c r="J21" i="24"/>
  <c r="I21" i="24"/>
  <c r="J19" i="24"/>
  <c r="I19" i="24"/>
  <c r="K19" i="24" s="1"/>
  <c r="H19" i="24"/>
  <c r="I61" i="6" s="1"/>
  <c r="J18" i="24"/>
  <c r="I18" i="24"/>
  <c r="H18" i="24"/>
  <c r="H61" i="6" s="1"/>
  <c r="J17" i="24"/>
  <c r="I17" i="24"/>
  <c r="K17" i="24" s="1"/>
  <c r="H17" i="24"/>
  <c r="G61" i="6" s="1"/>
  <c r="D61" i="6" s="1"/>
  <c r="J16" i="24"/>
  <c r="I16" i="24"/>
  <c r="K16" i="24" s="1"/>
  <c r="H16" i="24"/>
  <c r="F61" i="6" s="1"/>
  <c r="J15" i="24"/>
  <c r="I15" i="24"/>
  <c r="K15" i="24" s="1"/>
  <c r="H15" i="24"/>
  <c r="I51" i="6" s="1"/>
  <c r="J14" i="24"/>
  <c r="I14" i="24"/>
  <c r="K14" i="24"/>
  <c r="H14" i="24"/>
  <c r="H51" i="6" s="1"/>
  <c r="J13" i="24"/>
  <c r="I13" i="24"/>
  <c r="K13" i="24" s="1"/>
  <c r="H13" i="24"/>
  <c r="G51" i="6" s="1"/>
  <c r="D51" i="6" s="1"/>
  <c r="J12" i="24"/>
  <c r="I12" i="24"/>
  <c r="K12" i="24" s="1"/>
  <c r="H12" i="24"/>
  <c r="F51" i="6" s="1"/>
  <c r="J11" i="24"/>
  <c r="I11" i="24"/>
  <c r="K11" i="24"/>
  <c r="H11" i="24"/>
  <c r="I41" i="6" s="1"/>
  <c r="J10" i="24"/>
  <c r="I10" i="24"/>
  <c r="K10" i="24"/>
  <c r="H10" i="24"/>
  <c r="H41" i="6" s="1"/>
  <c r="J9" i="24"/>
  <c r="I9" i="24"/>
  <c r="K9" i="24" s="1"/>
  <c r="H9" i="24"/>
  <c r="G41" i="6" s="1"/>
  <c r="D41" i="6" s="1"/>
  <c r="J8" i="24"/>
  <c r="I8" i="24"/>
  <c r="K8" i="24" s="1"/>
  <c r="H8" i="24"/>
  <c r="F41" i="6" s="1"/>
  <c r="J7" i="24"/>
  <c r="I7" i="24"/>
  <c r="K7" i="24" s="1"/>
  <c r="C8" i="24"/>
  <c r="B8" i="24" s="1"/>
  <c r="J6" i="24"/>
  <c r="I6" i="24"/>
  <c r="K6" i="24"/>
  <c r="J5" i="24"/>
  <c r="K5" i="24" s="1"/>
  <c r="I5" i="24"/>
  <c r="J4" i="24"/>
  <c r="I4" i="24"/>
  <c r="H20" i="23"/>
  <c r="I57" i="6" s="1"/>
  <c r="H19" i="23"/>
  <c r="H57" i="6" s="1"/>
  <c r="H18" i="23"/>
  <c r="G57" i="6" s="1"/>
  <c r="D57" i="6" s="1"/>
  <c r="H17" i="23"/>
  <c r="F57" i="6" s="1"/>
  <c r="H16" i="23"/>
  <c r="I47" i="6" s="1"/>
  <c r="J14" i="23"/>
  <c r="I14" i="23"/>
  <c r="K14" i="23" s="1"/>
  <c r="H14" i="23"/>
  <c r="H47" i="6" s="1"/>
  <c r="J13" i="23"/>
  <c r="I13" i="23"/>
  <c r="H13" i="23"/>
  <c r="G47" i="6" s="1"/>
  <c r="D47" i="6" s="1"/>
  <c r="J12" i="23"/>
  <c r="I12" i="23"/>
  <c r="K12" i="23"/>
  <c r="H12" i="23"/>
  <c r="F47" i="6" s="1"/>
  <c r="J11" i="23"/>
  <c r="I11" i="23"/>
  <c r="K11" i="23" s="1"/>
  <c r="H11" i="23"/>
  <c r="I37" i="6" s="1"/>
  <c r="J10" i="23"/>
  <c r="I10" i="23"/>
  <c r="K10" i="23" s="1"/>
  <c r="H10" i="23"/>
  <c r="H37" i="6" s="1"/>
  <c r="J9" i="23"/>
  <c r="I9" i="23"/>
  <c r="K9" i="23" s="1"/>
  <c r="H9" i="23"/>
  <c r="G37" i="6" s="1"/>
  <c r="D37" i="6" s="1"/>
  <c r="J8" i="23"/>
  <c r="I8" i="23"/>
  <c r="H8" i="23"/>
  <c r="F37" i="6" s="1"/>
  <c r="J7" i="23"/>
  <c r="I7" i="23"/>
  <c r="K7" i="23"/>
  <c r="C7" i="23"/>
  <c r="J6" i="23"/>
  <c r="I6" i="23"/>
  <c r="K6" i="23" s="1"/>
  <c r="K5" i="2"/>
  <c r="J5" i="23"/>
  <c r="I5" i="23"/>
  <c r="K5" i="23" s="1"/>
  <c r="J4" i="23"/>
  <c r="K4" i="23" s="1"/>
  <c r="I4" i="23"/>
  <c r="J53" i="22"/>
  <c r="I53" i="22"/>
  <c r="J52" i="22"/>
  <c r="I52" i="22"/>
  <c r="J51" i="22"/>
  <c r="I51" i="22"/>
  <c r="J50" i="22"/>
  <c r="I50" i="22"/>
  <c r="J49" i="22"/>
  <c r="I49" i="22"/>
  <c r="J48" i="22"/>
  <c r="I48" i="22"/>
  <c r="J47" i="22"/>
  <c r="I47" i="22"/>
  <c r="J46" i="22"/>
  <c r="I46" i="22"/>
  <c r="J45" i="22"/>
  <c r="I45" i="22"/>
  <c r="J44" i="22"/>
  <c r="I44" i="22"/>
  <c r="J43" i="22"/>
  <c r="I43" i="22"/>
  <c r="J42" i="22"/>
  <c r="I42" i="22"/>
  <c r="J41" i="22"/>
  <c r="I41" i="22"/>
  <c r="J40" i="22"/>
  <c r="I40" i="22"/>
  <c r="J39" i="22"/>
  <c r="I39" i="22"/>
  <c r="J38" i="22"/>
  <c r="I38" i="22"/>
  <c r="J37" i="22"/>
  <c r="I37" i="22"/>
  <c r="J36" i="22"/>
  <c r="I36" i="22"/>
  <c r="J35" i="22"/>
  <c r="I35" i="22"/>
  <c r="J34" i="22"/>
  <c r="I34" i="22"/>
  <c r="J33" i="22"/>
  <c r="I33" i="22"/>
  <c r="J32" i="22"/>
  <c r="I32" i="22"/>
  <c r="J31" i="22"/>
  <c r="I31" i="22"/>
  <c r="J30" i="22"/>
  <c r="I30" i="22"/>
  <c r="J29" i="22"/>
  <c r="I29" i="22"/>
  <c r="J27" i="22"/>
  <c r="I27" i="22"/>
  <c r="J26" i="22"/>
  <c r="I26" i="22"/>
  <c r="J25" i="22"/>
  <c r="I25" i="22"/>
  <c r="J24" i="22"/>
  <c r="I24" i="22"/>
  <c r="H23" i="22"/>
  <c r="I56" i="6" s="1"/>
  <c r="J23" i="22"/>
  <c r="I23" i="22"/>
  <c r="H22" i="22"/>
  <c r="H56" i="6" s="1"/>
  <c r="J22" i="22"/>
  <c r="I22" i="22"/>
  <c r="H19" i="22"/>
  <c r="G56" i="6" s="1"/>
  <c r="J19" i="22"/>
  <c r="I19" i="22"/>
  <c r="H18" i="22"/>
  <c r="F56" i="6" s="1"/>
  <c r="J18" i="22"/>
  <c r="I18" i="22"/>
  <c r="H17" i="22"/>
  <c r="I46" i="6" s="1"/>
  <c r="J17" i="22"/>
  <c r="I17" i="22"/>
  <c r="H16" i="22"/>
  <c r="H46" i="6" s="1"/>
  <c r="J16" i="22"/>
  <c r="I16" i="22"/>
  <c r="H15" i="22"/>
  <c r="G46" i="6" s="1"/>
  <c r="J15" i="22"/>
  <c r="I15" i="22"/>
  <c r="H14" i="22"/>
  <c r="F46" i="6" s="1"/>
  <c r="J14" i="22"/>
  <c r="I14" i="22"/>
  <c r="H13" i="22"/>
  <c r="I36" i="6" s="1"/>
  <c r="J13" i="22"/>
  <c r="I13" i="22"/>
  <c r="H12" i="22"/>
  <c r="H36" i="6" s="1"/>
  <c r="J12" i="22"/>
  <c r="I12" i="22"/>
  <c r="H11" i="22"/>
  <c r="G36" i="6" s="1"/>
  <c r="J11" i="22"/>
  <c r="I11" i="22"/>
  <c r="H10" i="22"/>
  <c r="F36" i="6" s="1"/>
  <c r="J9" i="22"/>
  <c r="I9" i="22"/>
  <c r="J7" i="22"/>
  <c r="I7" i="22"/>
  <c r="J6" i="22"/>
  <c r="I6" i="22"/>
  <c r="J5" i="22"/>
  <c r="I5" i="22"/>
  <c r="K18" i="30"/>
  <c r="G32" i="6"/>
  <c r="H32" i="6"/>
  <c r="F22" i="6"/>
  <c r="I32" i="6"/>
  <c r="K28" i="31"/>
  <c r="K27" i="31"/>
  <c r="H30" i="6"/>
  <c r="G30" i="6"/>
  <c r="F30" i="6"/>
  <c r="I30" i="6"/>
  <c r="F29" i="6"/>
  <c r="C9" i="24"/>
  <c r="B9" i="24" s="1"/>
  <c r="K41" i="24"/>
  <c r="K39" i="24"/>
  <c r="K4" i="24"/>
  <c r="K42" i="24"/>
  <c r="E32" i="6" l="1"/>
  <c r="K7" i="30"/>
  <c r="K21" i="24"/>
  <c r="K10" i="31"/>
  <c r="K12" i="31"/>
  <c r="K19" i="31"/>
  <c r="K7" i="31"/>
  <c r="K11" i="31"/>
  <c r="K17" i="31"/>
  <c r="K29" i="31"/>
  <c r="B12" i="29"/>
  <c r="K6" i="29"/>
  <c r="G29" i="6"/>
  <c r="I7" i="2"/>
  <c r="K33" i="32"/>
  <c r="K6" i="2"/>
  <c r="I6" i="2"/>
  <c r="F28" i="6"/>
  <c r="D18" i="6"/>
  <c r="C8" i="23"/>
  <c r="B7" i="23"/>
  <c r="C60" i="6"/>
  <c r="C30" i="6"/>
  <c r="C40" i="6"/>
  <c r="C50" i="6"/>
  <c r="G2" i="2"/>
  <c r="K32" i="24"/>
  <c r="K50" i="29"/>
  <c r="K34" i="29"/>
  <c r="K12" i="29"/>
  <c r="K7" i="29"/>
  <c r="K23" i="24"/>
  <c r="K16" i="30"/>
  <c r="K3" i="30" s="1"/>
  <c r="D32" i="6" s="1"/>
  <c r="K57" i="29"/>
  <c r="K41" i="29"/>
  <c r="K17" i="29"/>
  <c r="K27" i="32"/>
  <c r="K43" i="32"/>
  <c r="K51" i="32"/>
  <c r="K9" i="22"/>
  <c r="K66" i="22"/>
  <c r="K182" i="22"/>
  <c r="K25" i="24"/>
  <c r="K4" i="31"/>
  <c r="K52" i="24"/>
  <c r="K56" i="24"/>
  <c r="K85" i="29"/>
  <c r="K20" i="29"/>
  <c r="K15" i="29"/>
  <c r="K18" i="24"/>
  <c r="K3" i="24" s="1"/>
  <c r="D31" i="6" s="1"/>
  <c r="K148" i="22"/>
  <c r="K156" i="22"/>
  <c r="K175" i="22"/>
  <c r="K185" i="22"/>
  <c r="K194" i="22"/>
  <c r="K203" i="22"/>
  <c r="K29" i="24"/>
  <c r="K38" i="24"/>
  <c r="K70" i="29"/>
  <c r="K55" i="29"/>
  <c r="K48" i="29"/>
  <c r="K39" i="29"/>
  <c r="K6" i="31"/>
  <c r="K53" i="29"/>
  <c r="K14" i="29"/>
  <c r="K9" i="29"/>
  <c r="K30" i="24"/>
  <c r="K75" i="29"/>
  <c r="K67" i="29"/>
  <c r="K55" i="24"/>
  <c r="K5" i="29"/>
  <c r="K8" i="23"/>
  <c r="K13" i="23"/>
  <c r="K19" i="23"/>
  <c r="K3" i="23" s="1"/>
  <c r="D27" i="6" s="1"/>
  <c r="K13" i="32"/>
  <c r="K18" i="32"/>
  <c r="K25" i="32"/>
  <c r="K41" i="32"/>
  <c r="K49" i="32"/>
  <c r="C48" i="6"/>
  <c r="C58" i="6"/>
  <c r="C28" i="6"/>
  <c r="C42" i="6"/>
  <c r="C59" i="6"/>
  <c r="C39" i="6"/>
  <c r="C49" i="6"/>
  <c r="C52" i="6"/>
  <c r="C62" i="6"/>
  <c r="C61" i="6"/>
  <c r="C51" i="6"/>
  <c r="C41" i="6"/>
  <c r="C27" i="6"/>
  <c r="C57" i="6"/>
  <c r="C37" i="6"/>
  <c r="K186" i="22"/>
  <c r="K99" i="22"/>
  <c r="K102" i="22"/>
  <c r="K196" i="22"/>
  <c r="K132" i="22"/>
  <c r="K151" i="22"/>
  <c r="K32" i="22"/>
  <c r="K60" i="22"/>
  <c r="K13" i="22"/>
  <c r="K163" i="22"/>
  <c r="C9" i="22"/>
  <c r="C10" i="22" s="1"/>
  <c r="B10" i="22" s="1"/>
  <c r="K62" i="22"/>
  <c r="K70" i="22"/>
  <c r="K78" i="22"/>
  <c r="K88" i="22"/>
  <c r="K96" i="22"/>
  <c r="K29" i="22"/>
  <c r="K37" i="22"/>
  <c r="K45" i="22"/>
  <c r="K65" i="22"/>
  <c r="K58" i="22"/>
  <c r="K167" i="22"/>
  <c r="K179" i="22"/>
  <c r="K113" i="22"/>
  <c r="K126" i="22"/>
  <c r="K153" i="22"/>
  <c r="K104" i="22"/>
  <c r="K19" i="22"/>
  <c r="K46" i="22"/>
  <c r="C16" i="6"/>
  <c r="C56" i="6" s="1"/>
  <c r="K159" i="22"/>
  <c r="K63" i="22"/>
  <c r="K71" i="22"/>
  <c r="K79" i="22"/>
  <c r="K174" i="22"/>
  <c r="K193" i="22"/>
  <c r="K202" i="22"/>
  <c r="K28" i="22"/>
  <c r="K152" i="22"/>
  <c r="K53" i="22"/>
  <c r="K64" i="22"/>
  <c r="K140" i="22"/>
  <c r="K157" i="22"/>
  <c r="K6" i="22"/>
  <c r="K131" i="22"/>
  <c r="K108" i="22"/>
  <c r="K36" i="22"/>
  <c r="K14" i="22"/>
  <c r="K161" i="22"/>
  <c r="K72" i="22"/>
  <c r="K80" i="22"/>
  <c r="K90" i="22"/>
  <c r="K98" i="22"/>
  <c r="K116" i="22"/>
  <c r="K200" i="22"/>
  <c r="K40" i="22"/>
  <c r="K48" i="22"/>
  <c r="K100" i="22"/>
  <c r="K93" i="22"/>
  <c r="K124" i="22"/>
  <c r="K150" i="22"/>
  <c r="K158" i="22"/>
  <c r="K166" i="22"/>
  <c r="K176" i="22"/>
  <c r="K142" i="22"/>
  <c r="K69" i="22"/>
  <c r="K87" i="22"/>
  <c r="K95" i="22"/>
  <c r="K133" i="22"/>
  <c r="K119" i="22"/>
  <c r="K18" i="22"/>
  <c r="K43" i="22"/>
  <c r="K51" i="22"/>
  <c r="K103" i="22"/>
  <c r="K109" i="22"/>
  <c r="K12" i="22"/>
  <c r="K25" i="22"/>
  <c r="K34" i="22"/>
  <c r="K42" i="22"/>
  <c r="K50" i="22"/>
  <c r="K74" i="22"/>
  <c r="K130" i="22"/>
  <c r="K67" i="22"/>
  <c r="K84" i="22"/>
  <c r="K118" i="22"/>
  <c r="K155" i="22"/>
  <c r="K173" i="22"/>
  <c r="K27" i="22"/>
  <c r="K44" i="22"/>
  <c r="K52" i="22"/>
  <c r="K76" i="22"/>
  <c r="K141" i="22"/>
  <c r="K184" i="22"/>
  <c r="K192" i="22"/>
  <c r="K201" i="22"/>
  <c r="K123" i="22"/>
  <c r="K57" i="22"/>
  <c r="K89" i="22"/>
  <c r="K115" i="22"/>
  <c r="K135" i="22"/>
  <c r="K170" i="22"/>
  <c r="K188" i="22"/>
  <c r="K16" i="22"/>
  <c r="K128" i="22"/>
  <c r="K198" i="22"/>
  <c r="I4" i="2"/>
  <c r="K5" i="22"/>
  <c r="K17" i="22"/>
  <c r="K24" i="22"/>
  <c r="K59" i="22"/>
  <c r="K91" i="22"/>
  <c r="K154" i="22"/>
  <c r="I27" i="6"/>
  <c r="J5" i="2"/>
  <c r="D17" i="6"/>
  <c r="F17" i="6"/>
  <c r="F15" i="6" s="1"/>
  <c r="F9" i="6" s="1"/>
  <c r="F27" i="6"/>
  <c r="I10" i="2"/>
  <c r="C8" i="30"/>
  <c r="D22" i="6"/>
  <c r="H10" i="2"/>
  <c r="L9" i="2"/>
  <c r="L2" i="2" s="1"/>
  <c r="K50" i="24"/>
  <c r="K43" i="24"/>
  <c r="H31" i="6"/>
  <c r="F31" i="6"/>
  <c r="K34" i="24"/>
  <c r="I9" i="2"/>
  <c r="G31" i="6"/>
  <c r="E21" i="6"/>
  <c r="E31" i="6"/>
  <c r="D21" i="6"/>
  <c r="C10" i="24"/>
  <c r="C6" i="31"/>
  <c r="C7" i="31" s="1"/>
  <c r="B7" i="31" s="1"/>
  <c r="E20" i="6"/>
  <c r="D20" i="6"/>
  <c r="E35" i="6"/>
  <c r="H8" i="2"/>
  <c r="K2" i="2"/>
  <c r="I29" i="6"/>
  <c r="H29" i="6"/>
  <c r="D19" i="6"/>
  <c r="C14" i="29"/>
  <c r="H7" i="2"/>
  <c r="E19" i="6"/>
  <c r="C14" i="32"/>
  <c r="B14" i="32" s="1"/>
  <c r="E28" i="6"/>
  <c r="H15" i="6"/>
  <c r="H9" i="6" s="1"/>
  <c r="C15" i="32"/>
  <c r="B7" i="32"/>
  <c r="E55" i="6"/>
  <c r="E45" i="6"/>
  <c r="H5" i="2"/>
  <c r="G15" i="6"/>
  <c r="G9" i="6" s="1"/>
  <c r="H45" i="6"/>
  <c r="F35" i="6"/>
  <c r="F55" i="6"/>
  <c r="I15" i="6"/>
  <c r="I9" i="6" s="1"/>
  <c r="H55" i="6"/>
  <c r="H35" i="6"/>
  <c r="I45" i="6"/>
  <c r="I35" i="6"/>
  <c r="E17" i="6"/>
  <c r="I55" i="6"/>
  <c r="F45" i="6"/>
  <c r="K129" i="22"/>
  <c r="K85" i="22"/>
  <c r="K61" i="22"/>
  <c r="K145" i="22"/>
  <c r="K139" i="22"/>
  <c r="K134" i="22"/>
  <c r="K120" i="22"/>
  <c r="K112" i="22"/>
  <c r="K107" i="22"/>
  <c r="K111" i="22"/>
  <c r="K105" i="22"/>
  <c r="K101" i="22"/>
  <c r="K83" i="22"/>
  <c r="K73" i="22"/>
  <c r="K68" i="22"/>
  <c r="H26" i="6"/>
  <c r="J4" i="2"/>
  <c r="E16" i="6"/>
  <c r="I26" i="6"/>
  <c r="F26" i="6"/>
  <c r="K181" i="22"/>
  <c r="K189" i="22"/>
  <c r="K197" i="22"/>
  <c r="K199" i="22"/>
  <c r="K183" i="22"/>
  <c r="K191" i="22"/>
  <c r="K7" i="22"/>
  <c r="K165" i="22"/>
  <c r="K31" i="22"/>
  <c r="K39" i="22"/>
  <c r="K47" i="22"/>
  <c r="K92" i="22"/>
  <c r="K117" i="22"/>
  <c r="K136" i="22"/>
  <c r="K11" i="22"/>
  <c r="K23" i="22"/>
  <c r="K160" i="22"/>
  <c r="K86" i="22"/>
  <c r="K147" i="22"/>
  <c r="K180" i="22"/>
  <c r="K121" i="22"/>
  <c r="K56" i="22"/>
  <c r="K162" i="22"/>
  <c r="K172" i="22"/>
  <c r="K149" i="22"/>
  <c r="K15" i="22"/>
  <c r="K22" i="22"/>
  <c r="K110" i="22"/>
  <c r="K122" i="22"/>
  <c r="B7" i="22"/>
  <c r="K33" i="22"/>
  <c r="K41" i="22"/>
  <c r="K49" i="22"/>
  <c r="K55" i="22"/>
  <c r="K77" i="22"/>
  <c r="K94" i="22"/>
  <c r="K26" i="22"/>
  <c r="K35" i="22"/>
  <c r="K30" i="22"/>
  <c r="K38" i="22"/>
  <c r="G35" i="6"/>
  <c r="D36" i="6"/>
  <c r="D35" i="6" s="1"/>
  <c r="D16" i="6"/>
  <c r="H4" i="2"/>
  <c r="G55" i="6"/>
  <c r="D56" i="6"/>
  <c r="D55" i="6" s="1"/>
  <c r="D46" i="6"/>
  <c r="D45" i="6" s="1"/>
  <c r="G45" i="6"/>
  <c r="K3" i="31" l="1"/>
  <c r="D30" i="6" s="1"/>
  <c r="K3" i="29"/>
  <c r="D29" i="6" s="1"/>
  <c r="G25" i="6"/>
  <c r="G12" i="6" s="1"/>
  <c r="K3" i="32"/>
  <c r="D28" i="6" s="1"/>
  <c r="B8" i="23"/>
  <c r="C9" i="23"/>
  <c r="J2" i="2"/>
  <c r="F25" i="6"/>
  <c r="F12" i="6" s="1"/>
  <c r="I25" i="6"/>
  <c r="I12" i="6" s="1"/>
  <c r="E25" i="6"/>
  <c r="E12" i="6" s="1"/>
  <c r="C11" i="22"/>
  <c r="B9" i="22"/>
  <c r="C26" i="6"/>
  <c r="C46" i="6"/>
  <c r="C36" i="6"/>
  <c r="I2" i="2"/>
  <c r="B8" i="30"/>
  <c r="C9" i="30"/>
  <c r="H25" i="6"/>
  <c r="H12" i="6" s="1"/>
  <c r="B10" i="24"/>
  <c r="C11" i="24"/>
  <c r="C12" i="24" s="1"/>
  <c r="B12" i="24" s="1"/>
  <c r="H2" i="2"/>
  <c r="B6" i="31"/>
  <c r="C8" i="31"/>
  <c r="B14" i="29"/>
  <c r="C15" i="29"/>
  <c r="D15" i="6"/>
  <c r="B15" i="32"/>
  <c r="C16" i="32"/>
  <c r="C17" i="32" s="1"/>
  <c r="B17" i="32" s="1"/>
  <c r="D9" i="6"/>
  <c r="E15" i="6"/>
  <c r="E9" i="6" s="1"/>
  <c r="K3" i="22"/>
  <c r="D26" i="6" s="1"/>
  <c r="D12" i="6"/>
  <c r="G6" i="6" s="1"/>
  <c r="C13" i="24" l="1"/>
  <c r="B13" i="24" s="1"/>
  <c r="C9" i="31"/>
  <c r="D25" i="6"/>
  <c r="B9" i="23"/>
  <c r="C10" i="23"/>
  <c r="B10" i="23" s="1"/>
  <c r="B11" i="22"/>
  <c r="C12" i="22"/>
  <c r="B9" i="30"/>
  <c r="C10" i="30"/>
  <c r="B11" i="24"/>
  <c r="B8" i="31"/>
  <c r="B15" i="29"/>
  <c r="C16" i="29"/>
  <c r="C17" i="29" s="1"/>
  <c r="B17" i="29" s="1"/>
  <c r="B16" i="32"/>
  <c r="C18" i="32"/>
  <c r="C19" i="32" s="1"/>
  <c r="B19" i="32" s="1"/>
  <c r="C14" i="24" l="1"/>
  <c r="B14" i="24" s="1"/>
  <c r="B9" i="31"/>
  <c r="C10" i="31"/>
  <c r="B10" i="31" s="1"/>
  <c r="C11" i="23"/>
  <c r="B12" i="22"/>
  <c r="C13" i="22"/>
  <c r="B13" i="22" s="1"/>
  <c r="C14" i="22"/>
  <c r="B10" i="30"/>
  <c r="C11" i="30"/>
  <c r="C12" i="30" s="1"/>
  <c r="B12" i="30" s="1"/>
  <c r="B16" i="29"/>
  <c r="C18" i="29"/>
  <c r="C20" i="32"/>
  <c r="B20" i="32" s="1"/>
  <c r="B18" i="32"/>
  <c r="C15" i="24" l="1"/>
  <c r="B15" i="24" s="1"/>
  <c r="C11" i="31"/>
  <c r="B11" i="31" s="1"/>
  <c r="C21" i="32"/>
  <c r="B21" i="32" s="1"/>
  <c r="B11" i="23"/>
  <c r="C12" i="23"/>
  <c r="B14" i="22"/>
  <c r="C15" i="22"/>
  <c r="B11" i="30"/>
  <c r="C13" i="30"/>
  <c r="C16" i="24"/>
  <c r="B18" i="29"/>
  <c r="C19" i="29"/>
  <c r="C22" i="32"/>
  <c r="B22" i="32" s="1"/>
  <c r="C12" i="31" l="1"/>
  <c r="B12" i="31" s="1"/>
  <c r="C13" i="31"/>
  <c r="C23" i="32"/>
  <c r="B23" i="32" s="1"/>
  <c r="B12" i="23"/>
  <c r="C13" i="23"/>
  <c r="B15" i="22"/>
  <c r="C16" i="22"/>
  <c r="B13" i="30"/>
  <c r="C14" i="30"/>
  <c r="B16" i="24"/>
  <c r="C17" i="24"/>
  <c r="B17" i="24" s="1"/>
  <c r="B19" i="29"/>
  <c r="C20" i="29"/>
  <c r="B13" i="31" l="1"/>
  <c r="C14" i="31"/>
  <c r="C15" i="31" s="1"/>
  <c r="C24" i="32"/>
  <c r="B24" i="32" s="1"/>
  <c r="B13" i="23"/>
  <c r="C14" i="23"/>
  <c r="B14" i="23" s="1"/>
  <c r="B16" i="22"/>
  <c r="C17" i="22"/>
  <c r="B14" i="30"/>
  <c r="C15" i="30"/>
  <c r="B15" i="30" s="1"/>
  <c r="C18" i="24"/>
  <c r="B18" i="24" s="1"/>
  <c r="C19" i="24"/>
  <c r="B20" i="29"/>
  <c r="C21" i="29"/>
  <c r="B15" i="31" l="1"/>
  <c r="B14" i="31"/>
  <c r="C16" i="31"/>
  <c r="B16" i="31" s="1"/>
  <c r="C25" i="32"/>
  <c r="B25" i="32" s="1"/>
  <c r="C16" i="23"/>
  <c r="C17" i="23"/>
  <c r="B17" i="23" s="1"/>
  <c r="C18" i="23"/>
  <c r="B18" i="23" s="1"/>
  <c r="B17" i="22"/>
  <c r="C18" i="22"/>
  <c r="C19" i="22" s="1"/>
  <c r="B19" i="22" s="1"/>
  <c r="C16" i="30"/>
  <c r="B16" i="30" s="1"/>
  <c r="B19" i="24"/>
  <c r="C20" i="24"/>
  <c r="B21" i="29"/>
  <c r="C22" i="29"/>
  <c r="B22" i="29" s="1"/>
  <c r="C17" i="30" l="1"/>
  <c r="B17" i="30" s="1"/>
  <c r="C17" i="31"/>
  <c r="B17" i="31" s="1"/>
  <c r="C23" i="29"/>
  <c r="C26" i="32"/>
  <c r="C19" i="23"/>
  <c r="B19" i="23" s="1"/>
  <c r="B16" i="23"/>
  <c r="B18" i="22"/>
  <c r="C22" i="22"/>
  <c r="C23" i="22" s="1"/>
  <c r="C18" i="30"/>
  <c r="B20" i="24"/>
  <c r="C21" i="24"/>
  <c r="B23" i="29"/>
  <c r="C24" i="29"/>
  <c r="C18" i="31" l="1"/>
  <c r="B26" i="32"/>
  <c r="C27" i="32"/>
  <c r="C28" i="32" s="1"/>
  <c r="B28" i="32" s="1"/>
  <c r="C20" i="23"/>
  <c r="B20" i="23" s="1"/>
  <c r="B23" i="22"/>
  <c r="B22" i="22"/>
  <c r="C24" i="22"/>
  <c r="B24" i="22" s="1"/>
  <c r="B18" i="30"/>
  <c r="C19" i="30"/>
  <c r="B21" i="24"/>
  <c r="C22" i="24"/>
  <c r="B24" i="29"/>
  <c r="C25" i="29"/>
  <c r="B18" i="31" l="1"/>
  <c r="C19" i="31"/>
  <c r="C20" i="31" s="1"/>
  <c r="B20" i="31" s="1"/>
  <c r="B27" i="32"/>
  <c r="C29" i="32"/>
  <c r="B29" i="32" s="1"/>
  <c r="C25" i="22"/>
  <c r="B19" i="30"/>
  <c r="C20" i="30"/>
  <c r="B22" i="24"/>
  <c r="C23" i="24"/>
  <c r="B25" i="29"/>
  <c r="C26" i="29"/>
  <c r="C21" i="31" l="1"/>
  <c r="B19" i="31"/>
  <c r="C30" i="32"/>
  <c r="B25" i="22"/>
  <c r="C26" i="22"/>
  <c r="B20" i="30"/>
  <c r="C21" i="30"/>
  <c r="B23" i="24"/>
  <c r="C24" i="24"/>
  <c r="B26" i="29"/>
  <c r="C27" i="29"/>
  <c r="B21" i="31" l="1"/>
  <c r="C23" i="31"/>
  <c r="B30" i="32"/>
  <c r="C31" i="32"/>
  <c r="B31" i="32" s="1"/>
  <c r="B26" i="22"/>
  <c r="C27" i="22"/>
  <c r="B27" i="22" s="1"/>
  <c r="B21" i="30"/>
  <c r="C22" i="30"/>
  <c r="B22" i="30" s="1"/>
  <c r="B24" i="24"/>
  <c r="C25" i="24"/>
  <c r="B27" i="29"/>
  <c r="C28" i="29"/>
  <c r="B23" i="31" l="1"/>
  <c r="B25" i="31"/>
  <c r="C24" i="31"/>
  <c r="C32" i="32"/>
  <c r="B32" i="32" s="1"/>
  <c r="C33" i="32"/>
  <c r="B33" i="32" s="1"/>
  <c r="C28" i="22"/>
  <c r="B28" i="22" s="1"/>
  <c r="B25" i="24"/>
  <c r="C26" i="24"/>
  <c r="B28" i="29"/>
  <c r="C29" i="29"/>
  <c r="B26" i="31" l="1"/>
  <c r="B24" i="31"/>
  <c r="C25" i="31"/>
  <c r="C34" i="32"/>
  <c r="B34" i="32" s="1"/>
  <c r="C29" i="22"/>
  <c r="B29" i="22" s="1"/>
  <c r="B26" i="24"/>
  <c r="C28" i="24"/>
  <c r="B29" i="29"/>
  <c r="C30" i="29"/>
  <c r="B27" i="31" l="1"/>
  <c r="C26" i="31"/>
  <c r="C35" i="32"/>
  <c r="B35" i="32" s="1"/>
  <c r="C30" i="22"/>
  <c r="B30" i="22" s="1"/>
  <c r="B28" i="24"/>
  <c r="C29" i="24"/>
  <c r="B30" i="29"/>
  <c r="C31" i="29"/>
  <c r="C36" i="32"/>
  <c r="B28" i="31" l="1"/>
  <c r="C27" i="31"/>
  <c r="C28" i="31" s="1"/>
  <c r="C29" i="31" s="1"/>
  <c r="B29" i="31" s="1"/>
  <c r="C31" i="22"/>
  <c r="C32" i="22" s="1"/>
  <c r="C33" i="22" s="1"/>
  <c r="B33" i="22" s="1"/>
  <c r="B29" i="24"/>
  <c r="C30" i="24"/>
  <c r="B31" i="29"/>
  <c r="C32" i="29"/>
  <c r="B36" i="32"/>
  <c r="C37" i="32"/>
  <c r="B31" i="22" l="1"/>
  <c r="C34" i="22"/>
  <c r="B32" i="22"/>
  <c r="B30" i="24"/>
  <c r="C31" i="24"/>
  <c r="B32" i="29"/>
  <c r="C33" i="29"/>
  <c r="B37" i="32"/>
  <c r="C38" i="32"/>
  <c r="B34" i="22" l="1"/>
  <c r="C35" i="22"/>
  <c r="B31" i="24"/>
  <c r="C32" i="24"/>
  <c r="B33" i="29"/>
  <c r="C34" i="29"/>
  <c r="B38" i="32"/>
  <c r="C39" i="32"/>
  <c r="B35" i="22" l="1"/>
  <c r="C36" i="22"/>
  <c r="B32" i="24"/>
  <c r="C33" i="24"/>
  <c r="B34" i="29"/>
  <c r="C35" i="29"/>
  <c r="B39" i="32"/>
  <c r="C40" i="32"/>
  <c r="C37" i="22" l="1"/>
  <c r="C38" i="22" s="1"/>
  <c r="B38" i="22" s="1"/>
  <c r="B36" i="22"/>
  <c r="B33" i="24"/>
  <c r="C34" i="24"/>
  <c r="B35" i="29"/>
  <c r="C36" i="29"/>
  <c r="B40" i="32"/>
  <c r="C41" i="32"/>
  <c r="C39" i="22" l="1"/>
  <c r="B39" i="22" s="1"/>
  <c r="B37" i="22"/>
  <c r="B34" i="24"/>
  <c r="C36" i="24"/>
  <c r="B36" i="29"/>
  <c r="C37" i="29"/>
  <c r="B41" i="32"/>
  <c r="C42" i="32"/>
  <c r="C40" i="22" l="1"/>
  <c r="B40" i="22" s="1"/>
  <c r="B36" i="24"/>
  <c r="C37" i="24"/>
  <c r="B37" i="29"/>
  <c r="C38" i="29"/>
  <c r="B42" i="32"/>
  <c r="C43" i="32"/>
  <c r="C41" i="22" l="1"/>
  <c r="C42" i="22" s="1"/>
  <c r="B42" i="22" s="1"/>
  <c r="B37" i="24"/>
  <c r="C38" i="24"/>
  <c r="B38" i="29"/>
  <c r="C39" i="29"/>
  <c r="B43" i="32"/>
  <c r="C44" i="32"/>
  <c r="C43" i="22" l="1"/>
  <c r="B43" i="22" s="1"/>
  <c r="B41" i="22"/>
  <c r="B38" i="24"/>
  <c r="C39" i="24"/>
  <c r="B39" i="29"/>
  <c r="C40" i="29"/>
  <c r="B44" i="32"/>
  <c r="C45" i="32"/>
  <c r="C44" i="22" l="1"/>
  <c r="B44" i="22" s="1"/>
  <c r="B39" i="24"/>
  <c r="C40" i="24"/>
  <c r="B40" i="29"/>
  <c r="C41" i="29"/>
  <c r="B45" i="32"/>
  <c r="C46" i="32"/>
  <c r="C45" i="22" l="1"/>
  <c r="B45" i="22" s="1"/>
  <c r="B40" i="24"/>
  <c r="C41" i="24"/>
  <c r="B41" i="29"/>
  <c r="C43" i="29"/>
  <c r="B46" i="32"/>
  <c r="C47" i="32"/>
  <c r="C46" i="22" l="1"/>
  <c r="C47" i="22" s="1"/>
  <c r="B47" i="22" s="1"/>
  <c r="B41" i="24"/>
  <c r="C42" i="24"/>
  <c r="B43" i="29"/>
  <c r="C44" i="29"/>
  <c r="B47" i="32"/>
  <c r="C48" i="32"/>
  <c r="B46" i="22" l="1"/>
  <c r="C48" i="22"/>
  <c r="C49" i="22" s="1"/>
  <c r="B49" i="22" s="1"/>
  <c r="B42" i="24"/>
  <c r="C43" i="24"/>
  <c r="B44" i="29"/>
  <c r="C45" i="29"/>
  <c r="B48" i="32"/>
  <c r="C49" i="32"/>
  <c r="C50" i="22" l="1"/>
  <c r="B50" i="22" s="1"/>
  <c r="B48" i="22"/>
  <c r="B43" i="24"/>
  <c r="C44" i="24"/>
  <c r="B45" i="29"/>
  <c r="C46" i="29"/>
  <c r="B49" i="32"/>
  <c r="C50" i="32"/>
  <c r="C51" i="22" l="1"/>
  <c r="C52" i="22" s="1"/>
  <c r="B44" i="24"/>
  <c r="C45" i="24"/>
  <c r="B46" i="29"/>
  <c r="C47" i="29"/>
  <c r="B50" i="32"/>
  <c r="C51" i="32"/>
  <c r="B51" i="32" s="1"/>
  <c r="B51" i="22" l="1"/>
  <c r="B52" i="22"/>
  <c r="C53" i="22"/>
  <c r="B45" i="24"/>
  <c r="C46" i="24"/>
  <c r="B47" i="29"/>
  <c r="C48" i="29"/>
  <c r="B53" i="22" l="1"/>
  <c r="B46" i="24"/>
  <c r="C47" i="24"/>
  <c r="B48" i="29"/>
  <c r="C49" i="29"/>
  <c r="B47" i="24" l="1"/>
  <c r="C48" i="24"/>
  <c r="B49" i="29"/>
  <c r="C50" i="29"/>
  <c r="B48" i="24" l="1"/>
  <c r="C50" i="24"/>
  <c r="B50" i="29"/>
  <c r="C51" i="29"/>
  <c r="B50" i="24" l="1"/>
  <c r="C51" i="24"/>
  <c r="B51" i="29"/>
  <c r="C52" i="29"/>
  <c r="B51" i="24" l="1"/>
  <c r="C52" i="24"/>
  <c r="B52" i="29"/>
  <c r="C53" i="29"/>
  <c r="B52" i="24" l="1"/>
  <c r="C53" i="24"/>
  <c r="B53" i="29"/>
  <c r="C54" i="29"/>
  <c r="C55" i="22"/>
  <c r="B53" i="24" l="1"/>
  <c r="C54" i="24"/>
  <c r="B54" i="29"/>
  <c r="C55" i="29"/>
  <c r="B55" i="22"/>
  <c r="C56" i="22"/>
  <c r="B54" i="24" l="1"/>
  <c r="C55" i="24"/>
  <c r="B55" i="29"/>
  <c r="C56" i="29"/>
  <c r="B56" i="22"/>
  <c r="C57" i="22"/>
  <c r="B55" i="24" l="1"/>
  <c r="C56" i="24"/>
  <c r="B56" i="24" s="1"/>
  <c r="B56" i="29"/>
  <c r="C57" i="29"/>
  <c r="B57" i="22"/>
  <c r="C58" i="22"/>
  <c r="B57" i="29" l="1"/>
  <c r="C58" i="29"/>
  <c r="B58" i="22"/>
  <c r="C59" i="22"/>
  <c r="B58" i="29" l="1"/>
  <c r="C59" i="29"/>
  <c r="B59" i="22"/>
  <c r="C60" i="22"/>
  <c r="B59" i="29" l="1"/>
  <c r="C60" i="29"/>
  <c r="B60" i="22"/>
  <c r="C61" i="22"/>
  <c r="B60" i="29" l="1"/>
  <c r="C61" i="29"/>
  <c r="C62" i="22"/>
  <c r="B61" i="22"/>
  <c r="B61" i="29" l="1"/>
  <c r="C62" i="29"/>
  <c r="B62" i="22"/>
  <c r="C63" i="22"/>
  <c r="B62" i="29" l="1"/>
  <c r="C63" i="29"/>
  <c r="C64" i="22"/>
  <c r="B63" i="22"/>
  <c r="B63" i="29" l="1"/>
  <c r="C64" i="29"/>
  <c r="B64" i="22"/>
  <c r="C65" i="22"/>
  <c r="B64" i="29" l="1"/>
  <c r="C65" i="29"/>
  <c r="B65" i="22"/>
  <c r="C66" i="22"/>
  <c r="B66" i="22" s="1"/>
  <c r="B65" i="29" l="1"/>
  <c r="C66" i="29"/>
  <c r="C67" i="22"/>
  <c r="B67" i="22" s="1"/>
  <c r="B66" i="29" l="1"/>
  <c r="C67" i="29"/>
  <c r="C68" i="22"/>
  <c r="B67" i="29" l="1"/>
  <c r="C68" i="29"/>
  <c r="B68" i="22"/>
  <c r="C69" i="22"/>
  <c r="B68" i="29" l="1"/>
  <c r="C69" i="29"/>
  <c r="B69" i="22"/>
  <c r="C70" i="22"/>
  <c r="B69" i="29" l="1"/>
  <c r="C70" i="29"/>
  <c r="C71" i="22"/>
  <c r="B70" i="22"/>
  <c r="B70" i="29" l="1"/>
  <c r="C71" i="29"/>
  <c r="B71" i="22"/>
  <c r="C72" i="22"/>
  <c r="B72" i="22" s="1"/>
  <c r="B71" i="29" l="1"/>
  <c r="C73" i="29"/>
  <c r="C73" i="22"/>
  <c r="B73" i="29" l="1"/>
  <c r="C74" i="29"/>
  <c r="B73" i="22"/>
  <c r="C74" i="22"/>
  <c r="B74" i="29" l="1"/>
  <c r="C75" i="29"/>
  <c r="B74" i="22"/>
  <c r="C75" i="22"/>
  <c r="B75" i="29" l="1"/>
  <c r="C76" i="29"/>
  <c r="C76" i="22"/>
  <c r="B75" i="22"/>
  <c r="B76" i="29" l="1"/>
  <c r="C77" i="29"/>
  <c r="C77" i="22"/>
  <c r="B76" i="22"/>
  <c r="B77" i="29" l="1"/>
  <c r="C78" i="29"/>
  <c r="C78" i="22"/>
  <c r="B77" i="22"/>
  <c r="B78" i="29" l="1"/>
  <c r="C80" i="29"/>
  <c r="B78" i="22"/>
  <c r="C79" i="22"/>
  <c r="B80" i="29" l="1"/>
  <c r="C81" i="29"/>
  <c r="C80" i="22"/>
  <c r="B79" i="22"/>
  <c r="B80" i="22" l="1"/>
  <c r="C81" i="22"/>
  <c r="B81" i="29"/>
  <c r="C82" i="29"/>
  <c r="B81" i="22" l="1"/>
  <c r="C82" i="22"/>
  <c r="B82" i="29"/>
  <c r="C83" i="29"/>
  <c r="B82" i="22" l="1"/>
  <c r="C83" i="22"/>
  <c r="B83" i="29"/>
  <c r="C84" i="29"/>
  <c r="B83" i="22" l="1"/>
  <c r="C84" i="22"/>
  <c r="B84" i="29"/>
  <c r="C85" i="29"/>
  <c r="B84" i="22" l="1"/>
  <c r="C85" i="22"/>
  <c r="B85" i="22" s="1"/>
  <c r="B85" i="29"/>
  <c r="C86" i="29"/>
  <c r="C86" i="22" l="1"/>
  <c r="B86" i="29"/>
  <c r="C87" i="29"/>
  <c r="B86" i="22" l="1"/>
  <c r="C87" i="22"/>
  <c r="B87" i="29"/>
  <c r="C88" i="29"/>
  <c r="B88" i="29" s="1"/>
  <c r="B87" i="22" l="1"/>
  <c r="C88" i="22"/>
  <c r="B88" i="22" s="1"/>
  <c r="C89" i="22" l="1"/>
  <c r="B89" i="22" l="1"/>
  <c r="C90" i="22"/>
  <c r="B90" i="22" l="1"/>
  <c r="C91" i="22"/>
  <c r="B91" i="22" l="1"/>
  <c r="C92" i="22"/>
  <c r="B92" i="22" l="1"/>
  <c r="C93" i="22"/>
  <c r="B93" i="22" l="1"/>
  <c r="C94" i="22"/>
  <c r="C95" i="22" l="1"/>
  <c r="B94" i="22"/>
  <c r="B95" i="22" l="1"/>
  <c r="C96" i="22"/>
  <c r="C97" i="22" l="1"/>
  <c r="B97" i="22" s="1"/>
  <c r="B96" i="22"/>
  <c r="C98" i="22" l="1"/>
  <c r="C99" i="22" l="1"/>
  <c r="B98" i="22"/>
  <c r="C100" i="22" l="1"/>
  <c r="B99" i="22"/>
  <c r="B100" i="22" l="1"/>
  <c r="C101" i="22"/>
  <c r="C102" i="22" l="1"/>
  <c r="B101" i="22"/>
  <c r="B102" i="22" l="1"/>
  <c r="C103" i="22"/>
  <c r="C104" i="22" l="1"/>
  <c r="B103" i="22"/>
  <c r="C105" i="22" l="1"/>
  <c r="B104" i="22"/>
  <c r="B105" i="22" l="1"/>
  <c r="C107" i="22" l="1"/>
  <c r="B107" i="22" l="1"/>
  <c r="C108" i="22"/>
  <c r="C109" i="22" l="1"/>
  <c r="B108" i="22"/>
  <c r="B109" i="22" l="1"/>
  <c r="C110" i="22"/>
  <c r="B110" i="22" s="1"/>
  <c r="C111" i="22" l="1"/>
  <c r="C112" i="22" l="1"/>
  <c r="B111" i="22"/>
  <c r="C113" i="22" l="1"/>
  <c r="B112" i="22"/>
  <c r="B113" i="22" l="1"/>
  <c r="C114" i="22"/>
  <c r="B114" i="22" l="1"/>
  <c r="C115" i="22"/>
  <c r="B115" i="22" l="1"/>
  <c r="C116" i="22"/>
  <c r="B116" i="22" l="1"/>
  <c r="C117" i="22"/>
  <c r="B117" i="22" l="1"/>
  <c r="C118" i="22"/>
  <c r="B118" i="22" l="1"/>
  <c r="C119" i="22"/>
  <c r="C120" i="22" l="1"/>
  <c r="B120" i="22" s="1"/>
  <c r="B119" i="22"/>
  <c r="C121" i="22" l="1"/>
  <c r="C122" i="22" s="1"/>
  <c r="B121" i="22" l="1"/>
  <c r="C123" i="22"/>
  <c r="B122" i="22"/>
  <c r="B123" i="22" l="1"/>
  <c r="C124" i="22"/>
  <c r="B124" i="22" l="1"/>
  <c r="C125" i="22"/>
  <c r="C126" i="22" l="1"/>
  <c r="B126" i="22" s="1"/>
  <c r="B125" i="22"/>
  <c r="C127" i="22" l="1"/>
  <c r="C128" i="22" l="1"/>
  <c r="B127" i="22"/>
  <c r="B128" i="22" l="1"/>
  <c r="C129" i="22"/>
  <c r="B129" i="22" l="1"/>
  <c r="C130" i="22"/>
  <c r="B130" i="22" l="1"/>
  <c r="C131" i="22"/>
  <c r="B131" i="22" l="1"/>
  <c r="C132" i="22"/>
  <c r="B132" i="22" s="1"/>
  <c r="C133" i="22" l="1"/>
  <c r="C134" i="22" s="1"/>
  <c r="B134" i="22" s="1"/>
  <c r="C135" i="22" l="1"/>
  <c r="B135" i="22" s="1"/>
  <c r="B133" i="22"/>
  <c r="C136" i="22" l="1"/>
  <c r="B136" i="22" l="1"/>
  <c r="C137" i="22"/>
  <c r="B137" i="22" l="1"/>
  <c r="C139" i="22"/>
  <c r="C140" i="22" l="1"/>
  <c r="B139" i="22"/>
  <c r="B140" i="22" l="1"/>
  <c r="C141" i="22"/>
  <c r="B141" i="22" l="1"/>
  <c r="C142" i="22"/>
  <c r="B142" i="22" l="1"/>
  <c r="C143" i="22"/>
  <c r="B143" i="22" l="1"/>
  <c r="C145" i="22"/>
  <c r="B145" i="22" l="1"/>
  <c r="C146" i="22"/>
  <c r="B146" i="22" l="1"/>
  <c r="C147" i="22"/>
  <c r="B147" i="22" l="1"/>
  <c r="C148" i="22"/>
  <c r="B148" i="22" l="1"/>
  <c r="C149" i="22"/>
  <c r="B149" i="22" l="1"/>
  <c r="C150" i="22"/>
  <c r="B150" i="22" s="1"/>
  <c r="C151" i="22" l="1"/>
  <c r="B151" i="22" l="1"/>
  <c r="C152" i="22"/>
  <c r="C153" i="22" l="1"/>
  <c r="B152" i="22"/>
  <c r="B153" i="22" l="1"/>
  <c r="C154" i="22"/>
  <c r="B154" i="22" l="1"/>
  <c r="C155" i="22"/>
  <c r="B155" i="22" l="1"/>
  <c r="C156" i="22"/>
  <c r="B156" i="22" l="1"/>
  <c r="C157" i="22"/>
  <c r="B157" i="22" l="1"/>
  <c r="C158" i="22"/>
  <c r="B158" i="22" l="1"/>
  <c r="C159" i="22"/>
  <c r="C160" i="22" l="1"/>
  <c r="B159" i="22"/>
  <c r="B160" i="22" l="1"/>
  <c r="C161" i="22"/>
  <c r="B161" i="22" l="1"/>
  <c r="C162" i="22"/>
  <c r="B162" i="22" l="1"/>
  <c r="C163" i="22"/>
  <c r="B163" i="22" l="1"/>
  <c r="C165" i="22"/>
  <c r="C166" i="22" l="1"/>
  <c r="B165" i="22"/>
  <c r="B166" i="22" l="1"/>
  <c r="C167" i="22"/>
  <c r="B167" i="22" l="1"/>
  <c r="C170" i="22"/>
  <c r="C171" i="22" l="1"/>
  <c r="B170" i="22"/>
  <c r="B171" i="22" l="1"/>
  <c r="C172" i="22"/>
  <c r="B172" i="22" l="1"/>
  <c r="C173" i="22"/>
  <c r="B173" i="22" l="1"/>
  <c r="C174" i="22"/>
  <c r="B174" i="22" l="1"/>
  <c r="C175" i="22"/>
  <c r="B175" i="22" l="1"/>
  <c r="C176" i="22"/>
  <c r="B176" i="22" l="1"/>
  <c r="C179" i="22"/>
  <c r="B179" i="22" l="1"/>
  <c r="C180" i="22"/>
  <c r="B180" i="22" l="1"/>
  <c r="C181" i="22"/>
  <c r="B181" i="22" l="1"/>
  <c r="C182" i="22"/>
  <c r="B182" i="22" l="1"/>
  <c r="C183" i="22"/>
  <c r="B183" i="22" l="1"/>
  <c r="C184" i="22"/>
  <c r="B184" i="22" l="1"/>
  <c r="C185" i="22"/>
  <c r="B185" i="22" l="1"/>
  <c r="C186" i="22"/>
  <c r="B186" i="22" l="1"/>
  <c r="C188" i="22"/>
  <c r="B188" i="22" l="1"/>
  <c r="C189" i="22"/>
  <c r="B189" i="22" l="1"/>
  <c r="C190" i="22"/>
  <c r="B190" i="22" l="1"/>
  <c r="C191" i="22"/>
  <c r="B191" i="22" l="1"/>
  <c r="C192" i="22"/>
  <c r="B192" i="22" l="1"/>
  <c r="C193" i="22"/>
  <c r="B193" i="22" l="1"/>
  <c r="C194" i="22"/>
  <c r="B194" i="22" l="1"/>
  <c r="C196" i="22"/>
  <c r="B196" i="22" l="1"/>
  <c r="C197" i="22"/>
  <c r="B197" i="22" l="1"/>
  <c r="C198" i="22"/>
  <c r="B198" i="22" l="1"/>
  <c r="C199" i="22"/>
  <c r="B199" i="22" l="1"/>
  <c r="C200" i="22"/>
  <c r="B200" i="22" l="1"/>
  <c r="C201" i="22"/>
  <c r="B201" i="22" l="1"/>
  <c r="C202" i="22"/>
  <c r="B202" i="22" l="1"/>
  <c r="C203" i="22"/>
  <c r="B203" i="22" s="1"/>
</calcChain>
</file>

<file path=xl/sharedStrings.xml><?xml version="1.0" encoding="utf-8"?>
<sst xmlns="http://schemas.openxmlformats.org/spreadsheetml/2006/main" count="1597" uniqueCount="536">
  <si>
    <t>Proposal Evaluation Summary</t>
  </si>
  <si>
    <t>Vendor Name:</t>
  </si>
  <si>
    <t>Date:</t>
  </si>
  <si>
    <t>Total Mobile Specification Score</t>
  </si>
  <si>
    <t>System</t>
  </si>
  <si>
    <t>Category</t>
  </si>
  <si>
    <t>Maximum Score</t>
  </si>
  <si>
    <t>Number of Requirements</t>
  </si>
  <si>
    <t>Not Answered</t>
  </si>
  <si>
    <t>Crucial</t>
  </si>
  <si>
    <t>Important</t>
  </si>
  <si>
    <t>Minimal</t>
  </si>
  <si>
    <t>ALL</t>
  </si>
  <si>
    <t>ALL CATEGORIES</t>
  </si>
  <si>
    <t>Score</t>
  </si>
  <si>
    <t>Function Available</t>
  </si>
  <si>
    <t>Function Not Available</t>
  </si>
  <si>
    <t>Exception</t>
  </si>
  <si>
    <t>MOBILE</t>
  </si>
  <si>
    <t>Number of Crucial</t>
  </si>
  <si>
    <t>Crucial - Not Answered</t>
  </si>
  <si>
    <t>Crucial - Function Available</t>
  </si>
  <si>
    <t>Crucial - Function Not Available</t>
  </si>
  <si>
    <t>Crucial - Exception</t>
  </si>
  <si>
    <t>Number of Important</t>
  </si>
  <si>
    <t>Important - Not Answered</t>
  </si>
  <si>
    <t>Important - Function Available</t>
  </si>
  <si>
    <t>Important - Function Not Available</t>
  </si>
  <si>
    <t>Important - Exception</t>
  </si>
  <si>
    <t>Number of Minimal</t>
  </si>
  <si>
    <t>Minimal - Not Answered</t>
  </si>
  <si>
    <t>Minimal - Function Available</t>
  </si>
  <si>
    <t>Minimal - Function Not Available</t>
  </si>
  <si>
    <t>Minimal - Exception</t>
  </si>
  <si>
    <t>Drop Down Definitions</t>
  </si>
  <si>
    <t>Worksheet</t>
  </si>
  <si>
    <t>Sheets</t>
  </si>
  <si>
    <t>Items</t>
  </si>
  <si>
    <t>Workbook Total Master Interfaces Specs</t>
  </si>
  <si>
    <t>Specification Type</t>
  </si>
  <si>
    <t>Weight</t>
  </si>
  <si>
    <t>N/A</t>
  </si>
  <si>
    <t>Availability</t>
  </si>
  <si>
    <t>Select From Drop Down</t>
  </si>
  <si>
    <t>Spec
ID</t>
  </si>
  <si>
    <t>Spec Number</t>
  </si>
  <si>
    <t>Importance</t>
  </si>
  <si>
    <t>Description of Capability
Mobile Data General Requirements</t>
  </si>
  <si>
    <t>Descriptions</t>
  </si>
  <si>
    <t>Summary</t>
  </si>
  <si>
    <t>Spec Weight</t>
  </si>
  <si>
    <t>Avail Weight</t>
  </si>
  <si>
    <t>Review Comments</t>
  </si>
  <si>
    <t>Mobile Data General Requirements</t>
  </si>
  <si>
    <t>Total</t>
  </si>
  <si>
    <t>Total Score -&gt;</t>
  </si>
  <si>
    <t>System Requirements</t>
  </si>
  <si>
    <t>MGen</t>
  </si>
  <si>
    <t>The network management system permits monitoring of the mobile data network through the use of automatic alarms and diagnostics that provide an interface to maintenance technicians through vendor provided central monitoring equipment.</t>
  </si>
  <si>
    <t>Total Not Answered</t>
  </si>
  <si>
    <t xml:space="preserve">The Mobile Data network provides programmable management tools to selectively allow or restrict access by authorized persons.  </t>
  </si>
  <si>
    <t>Total Available</t>
  </si>
  <si>
    <t>The Mobile Data network provides a method for monitoring the use of the network through standardized reports.</t>
  </si>
  <si>
    <t>Total Not Available</t>
  </si>
  <si>
    <t>Security</t>
  </si>
  <si>
    <t>Total Exception</t>
  </si>
  <si>
    <t>Total Crucial &amp; Not Answered</t>
  </si>
  <si>
    <t>Total Crucial &amp; Function Available</t>
  </si>
  <si>
    <t>Ability to authorize rights to specified users (e.g. Fire Marshals) for access to multiple disciplines (e.g. Law Enforcement and Fire)</t>
  </si>
  <si>
    <t>Total Crucial &amp; Function Not Available</t>
  </si>
  <si>
    <t>Logging into mobile client requires, at a minimum, user name and password verification within the mobile systems server.</t>
  </si>
  <si>
    <t>Total Crucial &amp; Exception</t>
  </si>
  <si>
    <t>Total Important &amp; Not Answered</t>
  </si>
  <si>
    <t>Mobile device operation complies with FBI CJIS requirements, when required.</t>
  </si>
  <si>
    <t>Total Important &amp; Function Available</t>
  </si>
  <si>
    <t>The mobile client application automatically logs out a user when there has been no user activity for an Agency Administrator(s) determined interval.</t>
  </si>
  <si>
    <t>Total Important &amp; Function Not Available</t>
  </si>
  <si>
    <t>Total Important &amp; Exception</t>
  </si>
  <si>
    <t>The mobile interface with CAD will log inbound requests to the interface and outbound commands from the interface.</t>
  </si>
  <si>
    <t>Total Minimal &amp; Not Answered</t>
  </si>
  <si>
    <t>Basic Capabilities</t>
  </si>
  <si>
    <t>Receive silent dispatch from CAD</t>
  </si>
  <si>
    <t>Total Minimal &amp; Function Available</t>
  </si>
  <si>
    <t>Print to any printer available on the network</t>
  </si>
  <si>
    <t>Total Minimal &amp; Function Not Available</t>
  </si>
  <si>
    <t>View pending calls</t>
  </si>
  <si>
    <t>Total Minimal &amp; Exception</t>
  </si>
  <si>
    <t>Unit history query</t>
  </si>
  <si>
    <t>Unit status query by zone</t>
  </si>
  <si>
    <t>Unit status query by agency</t>
  </si>
  <si>
    <t>Unit status query by discipline</t>
  </si>
  <si>
    <t>Ability to view all units and events they are assigned to.</t>
  </si>
  <si>
    <t>Ability to view events based on location and view all units assigned to that event.</t>
  </si>
  <si>
    <t>Event history query</t>
  </si>
  <si>
    <t>Unit to Unit messaging</t>
  </si>
  <si>
    <t>Unit to CAD workstation messaging/CAD workstation to unit</t>
  </si>
  <si>
    <t>Unit to RMS workstation messaging/RMS workstation to unit</t>
  </si>
  <si>
    <t>Mapping system will allow limitless spatial extent based on available data (e.g. map data outside the Customer area).</t>
  </si>
  <si>
    <t>Audible tones can be user defined.</t>
  </si>
  <si>
    <t>Unique audible tones can be applied to different types of messages.</t>
  </si>
  <si>
    <t>dispatched event</t>
  </si>
  <si>
    <t>message from dispatch</t>
  </si>
  <si>
    <t>State / NCIC hit</t>
  </si>
  <si>
    <t>event type as determined by the agency</t>
  </si>
  <si>
    <t>The automatic screen refresh does not affect populated input fields or cursor location.</t>
  </si>
  <si>
    <t>The agency forms are accessible by means of touch screen capability.</t>
  </si>
  <si>
    <t>An authorized user is able to construct pre-defined query forms, e.g., premise information query, pre-plan query, name query.</t>
  </si>
  <si>
    <t>The mobile client can receive dispatcher-initiated changes, e.g., incident type change, location update, narrative updates.</t>
  </si>
  <si>
    <t>The mobile client will be notified with visual alerts( s) of dispatcher-initiated changes.</t>
  </si>
  <si>
    <t>The mobile client will be notified with audible alert(s) of dispatcher-initiated changes.</t>
  </si>
  <si>
    <t>The mobile application is capable of text to voice translation.</t>
  </si>
  <si>
    <t>The mobile application provides for day and night time modes of illumination.</t>
  </si>
  <si>
    <t>Mobile data application uses the same databases as the CAD System.</t>
  </si>
  <si>
    <t>Mobile application has the capability of attaching and/or displaying pre-plans, building diagrams, and associated files.</t>
  </si>
  <si>
    <t>Mobile application has the ability to display images (e.g. driver's license photo, mugshot)</t>
  </si>
  <si>
    <t>The mobile application is able to launch other applications to access files (e.g., PDF, BMP, GIF, WAV) when viewing a preplan that has such associated attachments.</t>
  </si>
  <si>
    <t>Mobile client is able to set the unit as "primary unit".</t>
  </si>
  <si>
    <t>Mobile units have the ability to be canceled or re-assigned to an incident.</t>
  </si>
  <si>
    <t>For Out of Vehicle functionality, a button is provided for a mobile user to set Out of Vehicle mode.</t>
  </si>
  <si>
    <t>For Out of Vehicle functionality, a notification is sent to dispatch when unit set to Out of Vehicle mode.</t>
  </si>
  <si>
    <t>The personnel for both MDD equipped units and non MDD equipped units can be displayed on the Units queue in the mobile client.</t>
  </si>
  <si>
    <t>access to any form or function</t>
  </si>
  <si>
    <t>self-dispatch</t>
  </si>
  <si>
    <t>user-initiated calls</t>
  </si>
  <si>
    <t>When submitting information on a form (i.e. prior incident query), the user will see a "request submitted" acknowledgement message.</t>
  </si>
  <si>
    <t>Changes made to a unit from a move up or cover assignment from dispatch updates mobile client.</t>
  </si>
  <si>
    <t>If an assigned incident has prior incident information attached to that address, the information associated with that prior incident should include, at a minimum: Incident date/time, incident type, nature of call, and disposition.</t>
  </si>
  <si>
    <t>If an assigned incident has premise information attached, the detailed information must be accessible via drill down or tab associated with premises information.</t>
  </si>
  <si>
    <t>If an assigned incident has hazmat information associated with it, the detailed information must be accessible via drill down or tab associated with hazmat information.</t>
  </si>
  <si>
    <t>A flag indicating the presence of a Premises History record or other Premises Information is displayed as a part of any event record being displayed.</t>
  </si>
  <si>
    <t>The watch commander/supervisor mobile client will have the ability to automatically receive all incidents of units under supervision.</t>
  </si>
  <si>
    <t>The mobile client provides a way for a unit to retrieve premise information from CAD in relation to the unit's current location when not assigned a specific incident.</t>
  </si>
  <si>
    <t>The mobile client provides a way for a unit to retrieve hydrant information related to an assigned incident.</t>
  </si>
  <si>
    <t>The mobile client provides a way for a unit to retrieve hydrant information in relation to the unit's current location when not assigned to a specific incident.</t>
  </si>
  <si>
    <t>The mobile client provides the ability for a field user to place a unit on shift and off shift, and the information will update CAD.</t>
  </si>
  <si>
    <t xml:space="preserve">Mobile Application will allow access to various modules based on user profiles.    </t>
  </si>
  <si>
    <t>Mobile Applications must allow operation of all modules in a totally disconnected mode with access to data on the local hardware.</t>
  </si>
  <si>
    <t>No user intervention required to sync mobile database to server once connectivity is reacquired.</t>
  </si>
  <si>
    <t>All synchronization and connection to server must be seamless to user.</t>
  </si>
  <si>
    <t>Operational Requirements</t>
  </si>
  <si>
    <t>user</t>
  </si>
  <si>
    <t>application type</t>
  </si>
  <si>
    <t>signal strength</t>
  </si>
  <si>
    <t>An authorized user can set and change the priority network access.</t>
  </si>
  <si>
    <t>Updates to the MDD client can be pushed to the MDD's to avoid the requirement of physically touching each unit.</t>
  </si>
  <si>
    <t>The mobile application is IP based.</t>
  </si>
  <si>
    <t>The mobile application utilizes a standard network protocol.</t>
  </si>
  <si>
    <t>The mobile client is able to connect with mobile server using UDP.</t>
  </si>
  <si>
    <t xml:space="preserve">Modifications to the crew / roster may be made remotely from an authorized device by an authorized user. </t>
  </si>
  <si>
    <t>CAD's paging features may be utilized from the mobile device.</t>
  </si>
  <si>
    <t>An authorized user can define the time limits of out of range traffic.</t>
  </si>
  <si>
    <t>An authorized user can configure the settings to limit information or transactions being queued by an out of range user.</t>
  </si>
  <si>
    <t>Removable vehicle mounted laptop computers using vehicle mounted radio modems and radios.</t>
  </si>
  <si>
    <t>Portable printers</t>
  </si>
  <si>
    <t>Unit Information</t>
  </si>
  <si>
    <t>Unit ID</t>
  </si>
  <si>
    <t>Agency</t>
  </si>
  <si>
    <t>Dispatch group</t>
  </si>
  <si>
    <t>Personnel assigned should allow for a range of 1 - 10.</t>
  </si>
  <si>
    <t>Multiple unit types</t>
  </si>
  <si>
    <t>Vehicle ID</t>
  </si>
  <si>
    <t>Unit / Incident status monitors / forms</t>
  </si>
  <si>
    <t>Pending Events</t>
  </si>
  <si>
    <t>Active Events</t>
  </si>
  <si>
    <t>Available Units</t>
  </si>
  <si>
    <t>Active Units</t>
  </si>
  <si>
    <t>Special Status Units</t>
  </si>
  <si>
    <t>Out of Service Units</t>
  </si>
  <si>
    <t>All Units</t>
  </si>
  <si>
    <t>All Events</t>
  </si>
  <si>
    <t>Status monitor/form capabilities organized by incident includes, at a minimum, the following:</t>
  </si>
  <si>
    <t>Sorting by priority</t>
  </si>
  <si>
    <t>Sorting by districts</t>
  </si>
  <si>
    <t>Sorting by zone</t>
  </si>
  <si>
    <t>Sorting by event number</t>
  </si>
  <si>
    <t>Display of events with different colors for each priority.</t>
  </si>
  <si>
    <t>The colors representing each priority shall be agency definable.</t>
  </si>
  <si>
    <t>Display of events with different symbols for each priority.</t>
  </si>
  <si>
    <t>Status monitor/form capabilities organized by unit includes, at a minimum, the following:</t>
  </si>
  <si>
    <t>Sorting by unit ID</t>
  </si>
  <si>
    <t>Sorting by status</t>
  </si>
  <si>
    <t>Sorting by unit type</t>
  </si>
  <si>
    <t>Sorting by location</t>
  </si>
  <si>
    <t>Sorting by Station</t>
  </si>
  <si>
    <t>Display of units with a different color for each status.</t>
  </si>
  <si>
    <t>The colors representing each status shall be user definable.</t>
  </si>
  <si>
    <t>Display of units with different symbols for each status.</t>
  </si>
  <si>
    <t>Description of Capability
Mobile Data AVL</t>
  </si>
  <si>
    <t>Mobile Data Automatic Vehicle Location (AVL)</t>
  </si>
  <si>
    <t>MAVL</t>
  </si>
  <si>
    <t>The AVL function allows dispatch to monitor the real-time location of all resources equipped with AVL capability.</t>
  </si>
  <si>
    <t>The refresh rate of AVL updates is determined by an authorized user.</t>
  </si>
  <si>
    <t>MAPP Reports</t>
  </si>
  <si>
    <t>A number of reports related to patrol and response speed on certain road types</t>
  </si>
  <si>
    <t>Will require some method of identifying the defined/required road types (highway/arterial roadways and collector/residential roadways), probably via a data field within the map files</t>
  </si>
  <si>
    <t>An AVL component that can feed these reports based on GPS location(s) for all units across a given date/time range.</t>
  </si>
  <si>
    <t>Must be able to sort by station/sector value or generate report for any one sector or any combination of sectors</t>
  </si>
  <si>
    <t>Description of Capability
Mobile Data Field Reporting</t>
  </si>
  <si>
    <t>Mobile Data Field Reporting</t>
  </si>
  <si>
    <t>MFldR</t>
  </si>
  <si>
    <t>The MDD client software provides the capability to receive complete event information at the time of dispatch.</t>
  </si>
  <si>
    <t>The MDD client software supports insert and delete modes in field data entry.</t>
  </si>
  <si>
    <t xml:space="preserve">The MDD client software supports cut, copy and paste modes in field data entry. </t>
  </si>
  <si>
    <t>The MDD software is capable of updating without user intervention.</t>
  </si>
  <si>
    <t>The Field Reporting application uses the same database(s) / database elements as the CAD and RMS systems.</t>
  </si>
  <si>
    <t>The Field Reporting application provides flexible, customizable user interface through the use of configurable buttons, forms, and function keys.</t>
  </si>
  <si>
    <t>The Field Reporting software provides the capability to complete basic incident reports in the field.</t>
  </si>
  <si>
    <t>The Field Reporting software provides the capability to populate the incident report forms in real time with basic event information received from CAD.</t>
  </si>
  <si>
    <t>Event number</t>
  </si>
  <si>
    <t>Report number</t>
  </si>
  <si>
    <t>Event location</t>
  </si>
  <si>
    <t>Event type - initial</t>
  </si>
  <si>
    <t>Event type - final</t>
  </si>
  <si>
    <t>Caller location</t>
  </si>
  <si>
    <t>Caller name</t>
  </si>
  <si>
    <t>Calling Party Number</t>
  </si>
  <si>
    <t>Event priority.</t>
  </si>
  <si>
    <t>Call Back field (date and time)</t>
  </si>
  <si>
    <t>Narrative</t>
  </si>
  <si>
    <t>Disposition (unlimited)</t>
  </si>
  <si>
    <t>Time call received</t>
  </si>
  <si>
    <t>Time dispatched</t>
  </si>
  <si>
    <t>Time first unit responded</t>
  </si>
  <si>
    <t>Time first unit arrived</t>
  </si>
  <si>
    <t>Time first unit cleared</t>
  </si>
  <si>
    <t>Time last unit cleared</t>
  </si>
  <si>
    <t>Units assigned</t>
  </si>
  <si>
    <t>Unit times</t>
  </si>
  <si>
    <t>The Field Reporting software provides the capability to complete the textual / form-based portion vehicle accident reports in the field.</t>
  </si>
  <si>
    <t>The Field Reporting module is able to capture and secure signatures from persons in the field.</t>
  </si>
  <si>
    <t>The Field Reporting system can associate supplemental field reports with the main incident report.</t>
  </si>
  <si>
    <t>The Field Reporting software provides the capability to complete the graphic portion of vehicle accident reports in the Field.</t>
  </si>
  <si>
    <t>All data entered into reports in the field is transmitted to the Records Management System upon completion.</t>
  </si>
  <si>
    <t>The Field Reporting software is able to download data from the portable device to the main site using wireless technology.</t>
  </si>
  <si>
    <t>The Field Reporting software provides the capability to complete Fire Inspection reports in the Field.</t>
  </si>
  <si>
    <t>Provide the ability to issue equipment from the field and dynamically update the inventory / fixed asset system.</t>
  </si>
  <si>
    <t>Ability to provide electronic submission of specified field reports via wireless (private or commercial) infrastructures.</t>
  </si>
  <si>
    <t>The Field Reporting software provides the ability to inquire into the inventory system to identify equipment location and/or issuance information.</t>
  </si>
  <si>
    <t>Ability to save reports locally instead of using a thumb drive or external device.</t>
  </si>
  <si>
    <t>Ability to provide electronic submission of specified field reports via removable media (i.e. thumb drive).</t>
  </si>
  <si>
    <t>The Field Reporting software must support electronic signature(s).</t>
  </si>
  <si>
    <t>The Field Reporting software allows fire hydrants to be put in and out of service from the field.</t>
  </si>
  <si>
    <t>The collection of electronic signatures is compliant with the E-Sign Bill of 1997.</t>
  </si>
  <si>
    <t>Authorized user has ability to tag a report as confidential.</t>
  </si>
  <si>
    <t>Description of Capability
Mobile Data Mapping / GIS</t>
  </si>
  <si>
    <t>Mobile Data Mapping / GIS</t>
  </si>
  <si>
    <t>MMap</t>
  </si>
  <si>
    <t>The mobile map displays active events.</t>
  </si>
  <si>
    <t>The mobile map displays pending events.</t>
  </si>
  <si>
    <t>The mobile map will display attributes associated with map features.</t>
  </si>
  <si>
    <t>The mobile map will display active incident and unit status(es).</t>
  </si>
  <si>
    <t>The mobile map will allow map to be set and oriented based on event location.</t>
  </si>
  <si>
    <t>The mobile map will allow map to be set and oriented on a units location.</t>
  </si>
  <si>
    <t>When a unit is dispatched to an incident, the suggested driving route will be displayed on the map.</t>
  </si>
  <si>
    <t>Recalculate routing when road is blocked or goes off course.</t>
  </si>
  <si>
    <t>The timing or provided routing directions is based on the speed of the vehicle.</t>
  </si>
  <si>
    <t>Determination of the suggested driving route will take into account an analysis of impedance of route (speed of route) to include:</t>
  </si>
  <si>
    <t>temporary reduced speed zones</t>
  </si>
  <si>
    <t>road closures</t>
  </si>
  <si>
    <t>barriers</t>
  </si>
  <si>
    <t>construction zones</t>
  </si>
  <si>
    <t>turn restrictions</t>
  </si>
  <si>
    <t>Weight limits (e.g. bridges/trucks)</t>
  </si>
  <si>
    <t>Height Limits (e.g. overpasses)</t>
  </si>
  <si>
    <t>Width Limits (e.g. bridges/roads)</t>
  </si>
  <si>
    <t>Elevation or 'Z' value of overpasses</t>
  </si>
  <si>
    <t>One way streets</t>
  </si>
  <si>
    <t>Time-of-day impedances (Rush Hour Traffic, School Zones)</t>
  </si>
  <si>
    <t>Ability to pre-program addresses and destinations to be used for routing (hospitals) units.</t>
  </si>
  <si>
    <t>Ability to utilize definable GPS polling frequency based on speed.</t>
  </si>
  <si>
    <t>When a unit leaves route provided via mapping, voice notification will be provided by the application.</t>
  </si>
  <si>
    <t>The mobile application has the ability to view other unit locations (AVL).</t>
  </si>
  <si>
    <t>The mobile application has the ability to view last known locations.</t>
  </si>
  <si>
    <t>The mobile map automatically rotates so that unit is automatically displayed moving the same direction.</t>
  </si>
  <si>
    <t>The mobile application can display fire map books.</t>
  </si>
  <si>
    <t>The radius search will return hazmat information.</t>
  </si>
  <si>
    <t>The radius search will return location hazards.</t>
  </si>
  <si>
    <t>The radius search will return prior incidents.</t>
  </si>
  <si>
    <t>The radius search will provide list of addresses/hazards that can be drilled down into for detail information.</t>
  </si>
  <si>
    <t>The map application is able to display the following as separately selectable layers:</t>
  </si>
  <si>
    <t>Law Enforcement units</t>
  </si>
  <si>
    <t>Law Enforcement incidents</t>
  </si>
  <si>
    <t>EMS units</t>
  </si>
  <si>
    <t>EMS incidents</t>
  </si>
  <si>
    <t>Fire apparatus</t>
  </si>
  <si>
    <t>Fire Incidents</t>
  </si>
  <si>
    <t>The map application is able to display or hide layers of information, to include but not limited to:</t>
  </si>
  <si>
    <t>All active incidents</t>
  </si>
  <si>
    <t>All actively engaged units</t>
  </si>
  <si>
    <t>All available units</t>
  </si>
  <si>
    <t>An authorized user has the ability to define layers that are available for display.</t>
  </si>
  <si>
    <t>The mapping application is able to display station locations.</t>
  </si>
  <si>
    <t>The mapping application is able to display territory boundaries, e.g., reporting district, beat, box, zone, battalion, political.</t>
  </si>
  <si>
    <t>Ability to freeze map on locations (e.g. event location, unit location)</t>
  </si>
  <si>
    <t>Description of Capability
Mobile Data Mobile Messaging</t>
  </si>
  <si>
    <t>Mobile Data Messaging</t>
  </si>
  <si>
    <t>MMsg</t>
  </si>
  <si>
    <t>The messaging processes associated with the mobile application includes the capability to compose and send messages to single units.</t>
  </si>
  <si>
    <t>The messaging processes associated with the mobile application includes the capability to compose and send messages to multiple units.</t>
  </si>
  <si>
    <t>The messaging processes associated with the mobile application includes the capability to compose and send messages to groups of units.</t>
  </si>
  <si>
    <t>Single function/button/key unit emergency message capability exists that is sent to all other field personnel and to dispatch to be implemented at the agency's discretion.</t>
  </si>
  <si>
    <t>All mobile message traffic (unit to unit, unit to CAD, CAD to unit, etc.) will be logged and available for review/audit.</t>
  </si>
  <si>
    <t>Messages to a active but "out of range" unit will be queued on both the mobile client and the mobile systems server so that the message will be transmitted at a later time when the unit is "back in range". Includes status changes, updates, and location changes.</t>
  </si>
  <si>
    <t>Messages to an "out of range" unit will notify the sender that the message was not delivered.</t>
  </si>
  <si>
    <t>The mobile client will have the ability to auto reply when a message is sent to an "off duty" unit.</t>
  </si>
  <si>
    <t>If a unit is "off duty" when a message is sent, the mobile systems server will return a message that the unit is off duty.</t>
  </si>
  <si>
    <t>Ability for an authorized user to create canned messages that can be prioritized (e.g. send 2nd Alarm, Working Fire, etc.).</t>
  </si>
  <si>
    <t>Ability to develop forms for various requests that can be completed out in the field and sent to the dispatcher.</t>
  </si>
  <si>
    <t>These forms would include, but not be limited to:</t>
  </si>
  <si>
    <t>BOLO</t>
  </si>
  <si>
    <t>NCIC Entries</t>
  </si>
  <si>
    <t>Description of Capability
Mobile Data Mobile Application</t>
  </si>
  <si>
    <t>Mobile Data Mobile Application</t>
  </si>
  <si>
    <t>CAD Interface Mobile Data</t>
  </si>
  <si>
    <t>IMDD</t>
  </si>
  <si>
    <t>The mobile data interface supports end-to-end 192 bit encryption, at a minimum.</t>
  </si>
  <si>
    <t>The mobile data interface supports the use of Advanced Authentication security measures for user and device log on verification.</t>
  </si>
  <si>
    <t>The mobile device interface operation complies with, and maintains compliance with, FBI CJIS security requirements.</t>
  </si>
  <si>
    <t>The mobile device interface supports access to the State, NLETS and NCIC secure networks adhering to security protocol required by each network.</t>
  </si>
  <si>
    <t>All mobile message traffic (unit to unit, unit to CAD, CAD to unit, CAD to RMS, etc.) will be logged and available for review/audit.</t>
  </si>
  <si>
    <t>The mobile data interface is capable of transporting dispatch incident data between the mobile device and CAD.</t>
  </si>
  <si>
    <t>The mobile data interface is capable of transporting dispatch unit status changes between the mobile device and CAD.</t>
  </si>
  <si>
    <t>The mobile data interface is capable of bi-directional communications between connected devices and the CAD system.</t>
  </si>
  <si>
    <t>No user intervention is required to sync mobile database to server once connectivity is reacquired.</t>
  </si>
  <si>
    <t>All synchronization and connection to server is seamless to user.</t>
  </si>
  <si>
    <t>The mobile data application allows local database access (e.g. thumb drive, external device, MDC hard drive).</t>
  </si>
  <si>
    <t>The mobile data interface supports the transport of Automatic Vehicle Location (AVL) data between connected devices and the CAD system.</t>
  </si>
  <si>
    <t>The mobile data interface supports the mobile mapping at the mobile data device.</t>
  </si>
  <si>
    <t>The mobile mapping functionality allows the field devices access to the CAD system mapping software, providing the same map layers as the communications center workstation maps.</t>
  </si>
  <si>
    <t>The mobile mapping functionality displays active events locations, units assigned and AVL of active units (if AVL is implemented).</t>
  </si>
  <si>
    <t>AVL location of displayed units are refreshed at an agency defined interval.</t>
  </si>
  <si>
    <t>Units displayed on the mobile map can be filtered using an agency defined boundary, e.g., zone, municipality, box, runcard.</t>
  </si>
  <si>
    <t>The mobile data interface supports the use of an Emergency Button on the mobile device which notifies the CAD system of a priority emergency situation involving the mobile device.</t>
  </si>
  <si>
    <t>When activated, the Emergency Button function provides the CAD system with the present location of the mobile device (if equipped with AVL) or last known location and current active incident information (if on an active incident).</t>
  </si>
  <si>
    <t xml:space="preserve">When activated, the Emergency Button function provides the appropriate workstations with: </t>
  </si>
  <si>
    <t>visual alert</t>
  </si>
  <si>
    <t>audible alert</t>
  </si>
  <si>
    <t>When activated, the Emergency Button function requires a CAD operator to acknowledge the message.</t>
  </si>
  <si>
    <t>The mobile data interface supports messaging between any connected devices.</t>
  </si>
  <si>
    <t>The mobile data interface supports messaging between any connected device and any CAD workstation.</t>
  </si>
  <si>
    <t>The mobile data interface supports inquiry and data transfer between connected devices and databases external to the CAD system.</t>
  </si>
  <si>
    <t>The mobile data interface allows access to the local Intranet from mobile device.</t>
  </si>
  <si>
    <t>The mobile data interface supports broadband connectivity using commercial carrier(s) and associated functional aspects of them in the field:</t>
  </si>
  <si>
    <t>Aircard</t>
  </si>
  <si>
    <t>Hotspot</t>
  </si>
  <si>
    <t>Wi-Fi</t>
  </si>
  <si>
    <t>The mobile data interface supports multiple mechanisms for data communication including, but not limited to:</t>
  </si>
  <si>
    <t>CDMA</t>
  </si>
  <si>
    <t>802.11x</t>
  </si>
  <si>
    <t>GPRS</t>
  </si>
  <si>
    <t>Private RF</t>
  </si>
  <si>
    <t>The mobile data interface supports use of dynamic IP addressing.</t>
  </si>
  <si>
    <t>The mobile data interface supports the ability for mobiles to seamlessly roam across available wireless networks.</t>
  </si>
  <si>
    <t>CAD</t>
  </si>
  <si>
    <t>LERMS</t>
  </si>
  <si>
    <t>FRMS</t>
  </si>
  <si>
    <t>JMS/CMS</t>
  </si>
  <si>
    <t>Description of Capability
Mobile Data LE Local / State / NCIC Inquiry</t>
  </si>
  <si>
    <t>Mobile Data LE Local / State / NCIC Inquiry</t>
  </si>
  <si>
    <t>MNCIC</t>
  </si>
  <si>
    <t>The Mobile Data system supports communication between the mobile CAD client and the National Crime Information Center (NCIC), State (e.g. LEADS, METERS, CLEAN) and Local Systems (e.g., wants and warrants).</t>
  </si>
  <si>
    <t>The Mobile Data system supports security as required by Federal, State and Local authorities for accessing and viewing law enforcement sensitive information.</t>
  </si>
  <si>
    <t>The Mobile Data system is able to direct a single query to the State / NCIC System.</t>
  </si>
  <si>
    <t>The Mobile Data system is able to direct a single query to a user defined local database.</t>
  </si>
  <si>
    <t>An authorized user can create user-designed format screens for State / NCIC inquiry and information return.</t>
  </si>
  <si>
    <t>An authorized user can create user-designed format screens for Local inquiry and information return.</t>
  </si>
  <si>
    <t xml:space="preserve">The Mobile Data system is able to specify security access permissions for any inquiry request format. </t>
  </si>
  <si>
    <t>The Mobile Data system is able to specify the maximum number of requests an agency can send to the Local, State and NCIC databases.</t>
  </si>
  <si>
    <t xml:space="preserve">The Mobile Data system logs all Local / State / NCIC transactions in a history file for viewing and reporting purposes. </t>
  </si>
  <si>
    <t xml:space="preserve">An authorized user can search for Local / State / NCIC inquiry responses by date/date range. </t>
  </si>
  <si>
    <t>The Mobile Data system can print messages received via a Local / State / NCIC inquiry request/response to a local (in vehicle) printer.</t>
  </si>
  <si>
    <t>An authorized user in the Mobile Data system can print messages received via a Local / State / NCIC inquiry request/response to a network printer at a central location.</t>
  </si>
  <si>
    <t xml:space="preserve">The Mobile Data system allows data and messages returned from the Local / State / NCIC inquiry to be sent to specified units. </t>
  </si>
  <si>
    <t>The Mobile Data system allows information contained in a response to auto-populate a new online query for additional information to submit for inquiry.</t>
  </si>
  <si>
    <t xml:space="preserve">The Mobile Data system allows the editing the string of data that is sent to the Local, State, or NCIC system. </t>
  </si>
  <si>
    <t>The Mobile Data system has the ability to automatically attach a return from a Local / State / NCIC inquiry to the incident/call database.</t>
  </si>
  <si>
    <t>The Mobile Data system has the ability to restrict returned data from Local / State / NCIC from being attached to the incident/call database.</t>
  </si>
  <si>
    <t>Push To Talk ID</t>
  </si>
  <si>
    <t>Software functionality is restricted by discipline, i.e., access to law enforcement functions is restricted to devices under the control of a law enforcement agency.</t>
  </si>
  <si>
    <t>Mobile Applications must be robust (continue to seamlessly function) while in disconnected mode.</t>
  </si>
  <si>
    <t>The mobile application shall utilize, at a minimum, end-to-end 192 bit encryption.</t>
  </si>
  <si>
    <t>The mobile application is capable of using Advanced Authentication security measures.</t>
  </si>
  <si>
    <t>The mobile application supports the use of an AVL system.</t>
  </si>
  <si>
    <t>The mobile application supports the AVL function using private communications network.</t>
  </si>
  <si>
    <t>The mobile application supports the AVL function using public communications network.</t>
  </si>
  <si>
    <t>The mobile application supports the ability to view other units AVL locations on the map of the MDD.</t>
  </si>
  <si>
    <t>AVL functions seamlessly in conjunction with mobile application with no conflicts of data transmission.</t>
  </si>
  <si>
    <t>The mobile application supports the activation / deactivation of AVL by unit without impacting real time CAD operations, exclusive of the impact on proximity unit recommendation.</t>
  </si>
  <si>
    <t>The mobile application supports the system-wide activation / deactivation of AVL without impacting real time CAD operations, exclusive of the impact on proximity unit recommendation.</t>
  </si>
  <si>
    <t xml:space="preserve">The mobile application can be configured so that the location of a self-initiated call is based on AVL user location.   </t>
  </si>
  <si>
    <t>The mobile application allows an authorized user the ability to view all unapproved reports.</t>
  </si>
  <si>
    <t>The mobile application shall support bar code and magnetic strip readers for entering data from operator's licenses.</t>
  </si>
  <si>
    <t>The mobile application is able to complete and upload hydrant inspections / repair reports / status updates from the field.</t>
  </si>
  <si>
    <t>The mobile application is capable of restricting an unauthorized user of viewing a confidential report.</t>
  </si>
  <si>
    <t>The mobile application propagates street status changes in real time to the mobile system for use in routing options</t>
  </si>
  <si>
    <t>The mobile application will display actual unit location in the unit status window while enroute to an incident until the unit is on-scene</t>
  </si>
  <si>
    <t xml:space="preserve">The mobile application allows the display of units to be filtered by device / unit using an agency defined boundary, e.g., zone, municipality. </t>
  </si>
  <si>
    <t>The mobile application will display map information from hard drive of the mobile device.</t>
  </si>
  <si>
    <t>The mobile application can access and display specific maps, e.g., apartment complexes, industrial complexes, special structures.</t>
  </si>
  <si>
    <t>The mobile application can access and display maps with agency-defined features, e.g., street names, block ranges, terrain features, common places.</t>
  </si>
  <si>
    <t>The mobile application can zoom in and zoom out of map</t>
  </si>
  <si>
    <t>The mobile application will center the map display on current vehicle location (AVL).</t>
  </si>
  <si>
    <t>The mobile application will center map display on incident location.</t>
  </si>
  <si>
    <t>The mobile application will center map display on specified geographic location.</t>
  </si>
  <si>
    <t>The mobile application has the ability to highlight the recommended route on the mobile device map from current location to dispatched location.</t>
  </si>
  <si>
    <t>The mobile application provides routing from the scene to the hospital based on hospital destination.</t>
  </si>
  <si>
    <t>The mobile application provides turn-by-turn audible directions from the current location to the dispatched location in the same manner as a GPS device (e.g. Garmin)</t>
  </si>
  <si>
    <t>The mobile application provides the ability to utilize pre-recorded street names (e.g. correctly pronounced names).</t>
  </si>
  <si>
    <t>The mobile application provides turn-by-turn text based directions from the current location to the dispatched location.</t>
  </si>
  <si>
    <t>The mobile application considers closed streets when providing directions.</t>
  </si>
  <si>
    <t>The mobile application allows an incident to be created by a mobile unit using latitude/longitude from GPS current location.</t>
  </si>
  <si>
    <t>The mobile application allows an incident to be created by a mobile unit using latitude / longitude by selecting a location from the map.</t>
  </si>
  <si>
    <t>The mobile application can be configured to display latitude and longitude in the same common format in all areas of the application.</t>
  </si>
  <si>
    <t>The mobile application can perform a radius search from a specific address.</t>
  </si>
  <si>
    <t>The mobile application can perform a radius search from the current location.</t>
  </si>
  <si>
    <t xml:space="preserve">The mobile application can perform a radius search from a map location. </t>
  </si>
  <si>
    <t>The mobile application can link to local files, (e.g., images, pre-plans, floor plans) from the map.</t>
  </si>
  <si>
    <t>The mobile application provides a method of allowing messaging between MDDs with the characteristics of Instant Messaging.</t>
  </si>
  <si>
    <t>The mobile application provides a method of creating and maintaining groups of MDDs for the purpose of messaging.</t>
  </si>
  <si>
    <t>The mobile application will provide a message received alert.</t>
  </si>
  <si>
    <t>The mobile application will send a confirmation message to the unit that a sent message has been received.</t>
  </si>
  <si>
    <t>The mobile application allows a mobile user to address/send a message to a CAD workstation.</t>
  </si>
  <si>
    <t>The mobile application allows a mobile user to address/send a message to a personal mailbox for a person in CAD.</t>
  </si>
  <si>
    <t>The Mobile Data Interface is capable of utilizing Advanced Encryption Standard (AES) without degradation of mobile application throughput.</t>
  </si>
  <si>
    <t>The mobile application allows operation of all modules in a totally disconnected mode with access to local data.</t>
  </si>
  <si>
    <t>The mobile application can utilize NetMotion Wireless mobile VPN software application to help manage connectivity to the wireless network.</t>
  </si>
  <si>
    <t>The mobile application allows easy connection/access to the following databases:</t>
  </si>
  <si>
    <t>The mobile application allows connection to any system that connects to the enterprise to deliver data to field units.</t>
  </si>
  <si>
    <t>Must allow easy connection/access to CAD, RMS, and JMS databases.</t>
  </si>
  <si>
    <t>The mobile application provides a  method of changing the unit capabilities (e.g., unit type, station assignment, manpower updates) from the MDD without logging off.</t>
  </si>
  <si>
    <t>The mobile application allows specialized units (e.g. Fire Marshals) with a need to operate under both Law Enforcement and Fire disciplines to have a single unit ID that integrates across both disciplines.</t>
  </si>
  <si>
    <t>The mobile application supports, at a minimum, the following functionality to any authorized device:</t>
  </si>
  <si>
    <t>The mobile application can be configured to require a self-initiated event to have a geo-validated address or a user can enter any location.</t>
  </si>
  <si>
    <t>The mobile application allows the agency to determine the hierarchy of which forms can automatically appear on top of other forms.  For example, an "Officer down" alert form can be forced on-top of all other forms, where as, a non-urgent message from the dispatcher to the mobile user would receive a notification alert, but not a pop-up message.</t>
  </si>
  <si>
    <t>The mobile application allows units to perform all appropriate status changes for themselves using function keys, hot keys, or other single function options.</t>
  </si>
  <si>
    <t>The mobile application provides a method of restricting the return of query results to data related to the agency of the requestor.</t>
  </si>
  <si>
    <t>The mobile application supports printing of user created forms from the MDD to a designated network printer.</t>
  </si>
  <si>
    <t>The mobile application provides a method of allowing unit capabilities to be specified at MDD log on.</t>
  </si>
  <si>
    <t>The mobile application provides a method of allowing authorized users within any agency to establish and maintain the MDD groups under control of that agency.</t>
  </si>
  <si>
    <t>The mobile application uses color to help users process information.</t>
  </si>
  <si>
    <t>The mobile application uses reverse video to help users process information.</t>
  </si>
  <si>
    <t>The mobile application uses audible message(s) to help users process information.</t>
  </si>
  <si>
    <t>The mobile application uses audible tones to help users process information.</t>
  </si>
  <si>
    <t>The mobile application allows visual or audible alarm contingent upon specific event.</t>
  </si>
  <si>
    <t>The mobile application provides audible notification of receipt of, but not limited to, the following:</t>
  </si>
  <si>
    <t>The mobile application refreshes screen with current dispatch information and narrative in real time.</t>
  </si>
  <si>
    <t>The mobile application refreshes screen with current dispatch information with a manual refresh command or hot key.</t>
  </si>
  <si>
    <t>The mobile application allows the user to select any result from a query and drill down for detailed information.</t>
  </si>
  <si>
    <t>The mobile application can use a standard screen format for all agency inquiries.</t>
  </si>
  <si>
    <t>The mobile application allows agency-defined query default by selection of a specific databases/file.</t>
  </si>
  <si>
    <t>The mobile application allows users to select databases to query.</t>
  </si>
  <si>
    <t>The mobile application has the ability to access and select an incident disposition when clearing a call.</t>
  </si>
  <si>
    <t>The mobile application provides a method of allowing an authorized agency user to send alerts and IM to any individual MDD, group or combination of groups of MDDs under the control of that agency.</t>
  </si>
  <si>
    <t>The mobile application allows access to the Internet from the mobile device, based on agency-defined limitations.</t>
  </si>
  <si>
    <t>The mobile application allows access to the local Intranet from the mobile device.</t>
  </si>
  <si>
    <t>The mobile application is able to query detailed incident history from the mobile device.</t>
  </si>
  <si>
    <t>The mobile application is able to query agency-defined unit status summary information from the mobile device, e.g., unit ID, location, comments.</t>
  </si>
  <si>
    <t>Upon dispatch of unit(s) to an incident, the mobile application will display and buffer agency-defined dispatch information, e.g., radio talk group number, incident type, medical history, map page, premise flag.</t>
  </si>
  <si>
    <t>The mobile application allows unit status updates from the mobile device using function keys or similar process.</t>
  </si>
  <si>
    <t>The mobile application logs incident and unit activities conducted by mobile unit.</t>
  </si>
  <si>
    <t>The mobile application can manually assign unit location (in the event of a GPS/AVL failure or shutdown).</t>
  </si>
  <si>
    <t>The mobile application can query incident database.</t>
  </si>
  <si>
    <t>The mobile application can query premises history.</t>
  </si>
  <si>
    <t>The mobile application can query premises alerts.</t>
  </si>
  <si>
    <t>The mobile application has the ability to limit viewing of premise alerts by assigned user discipline.</t>
  </si>
  <si>
    <t>The mobile application can query prior incidents.</t>
  </si>
  <si>
    <t>The mobile application utilizes multiple selection criteria such as date range, incident type, disposition, location, etc. when querying incidents.</t>
  </si>
  <si>
    <t>The mobile application can query pending incidents.</t>
  </si>
  <si>
    <t>The mobile application can query active incidents.</t>
  </si>
  <si>
    <t>The mobile application is able to add comments and narrative to incidents.</t>
  </si>
  <si>
    <t>The mobile application allows crew changes (manpower) from a form that does not require a log off and then log back on.</t>
  </si>
  <si>
    <t>The mobile application provides a tree view (navbar) of information associated with a query return or incident, e.g., incident type, incident number, caller information, premise information.</t>
  </si>
  <si>
    <t>The mobile application is able to restrict specific actions based on user designation, e.g., firefighter, police officer, sergeant, supervisor, Chief. These should include:</t>
  </si>
  <si>
    <t>As changes are made to incidents within CAD, the mobile application will send update notifications to all units assigned to the call and supervisors monitoring the call.</t>
  </si>
  <si>
    <t>The mobile application facilitates access to local databases (e.g. TRACs, WatchGuard).</t>
  </si>
  <si>
    <t>The mobile application supports use of dynamic IP addressing.</t>
  </si>
  <si>
    <t>The mobile application supports the ability for mobiles to seamlessly roam across available wireless networks.</t>
  </si>
  <si>
    <t>The mobile application can prioritize network access by the following rules based criteria:</t>
  </si>
  <si>
    <t xml:space="preserve">The mobile application manages user access to multiple network resources.  </t>
  </si>
  <si>
    <t>The mobile application will provide the ability to synchronize specific "code file" tables from the CAD and RMS system to the mobile server and client.</t>
  </si>
  <si>
    <t>The mobile application allows the use of a keyboard/mouse combination on the mobile client.</t>
  </si>
  <si>
    <t>The mobile application allows the use of a touch screen on the mobile client.</t>
  </si>
  <si>
    <t>The mobile application supports, at a minimum, the following user equipment options:</t>
  </si>
  <si>
    <t>The mobile application provides, at a minimum, the following data elements associated with a unit:</t>
  </si>
  <si>
    <t>The mobile application provides at a minimum the following status monitor forms:</t>
  </si>
  <si>
    <t>The mobile application may be implemented prior to the implementation of CAD to support existing functions (e.g. can operate mobile and/or FBR before CAD is brought on-line).</t>
  </si>
  <si>
    <t>The mobile application is capable of accessing file downloads from any network connection.</t>
  </si>
  <si>
    <t>The mobile application can restrict to file downloads from any network connection.</t>
  </si>
  <si>
    <t>Portable hand-held data devices such as smart phones or tablets.</t>
  </si>
  <si>
    <t>The authorized user can close / re-open streets in real time interactively.</t>
  </si>
  <si>
    <t>The mobile application will close and re-open streets with a authorized user set start and end date/time.</t>
  </si>
  <si>
    <t>The authorized user can measure distance between two points using the mobile map.</t>
  </si>
  <si>
    <t>The authorized user can zoom in on an area of the mobile map for enhanced detail.</t>
  </si>
  <si>
    <t>The authorized user can pan from an area to an adjacent area on the mobile map.</t>
  </si>
  <si>
    <t>The mobile application has the ability for the authorized user to pre-record street names to be used in routing.</t>
  </si>
  <si>
    <t>Authorized user definable GPS polling frequency based on speed.</t>
  </si>
  <si>
    <t>Any or all available layers at the discretion of a authorized user.</t>
  </si>
  <si>
    <t>Vendor is developing/enhancing mobile mapping to take advantage of most recently released version.</t>
  </si>
  <si>
    <t>The mobile data interface system is capable of utilizing 802.11x hot spots (wireless access points) throughout the jurisdiction to allow greater data throughput.</t>
  </si>
  <si>
    <t xml:space="preserve">The mobile application allows access to all mobile application and FBR modules with full functionality and features in the field.   </t>
  </si>
  <si>
    <t>The mobile application provides a method of printing query results, files, notes, reports, etc. from an MDD (Mobile Data Device) to a designated network printer.</t>
  </si>
  <si>
    <t xml:space="preserve">When a mobile client is assigned any new incident, the mobile application will automatically display the incident detail form, without user intervention, regardless of which form the user is currently viewing within the mobile client application. </t>
  </si>
  <si>
    <t xml:space="preserve">When a mobile client is assigned any new incident, the mobile application will automatically display the incident detail form. This action will not delete or clear any data being entered in the form that was overridden. </t>
  </si>
  <si>
    <t>When a mobile client is assigned any new incident, the mobile application will automatically display the incident detail form. This action will not override his/her screen for every update.</t>
  </si>
  <si>
    <t>AVL location information is provided to mobile data system and CAD via latitude/longitude provided by the GPS receiver(s) leveraged by client agencies (e.g. via smart device, in-car radio device).</t>
  </si>
  <si>
    <t>The mobile application supports maps developed leveraging shapefiles and standard imagery formats (e.g. TIFF, jpeg, geodatabase rasters).</t>
  </si>
  <si>
    <t>The mobile application provides the ability to script map updates based on an authorized user defined interval from an Esri geodatabase.</t>
  </si>
  <si>
    <t>The mobile map allows an authorized user to turn user defined layers and imagery on and off.</t>
  </si>
  <si>
    <t>The mobile application provides the ability to re-route a unit when it encounters a road block or goes off course.</t>
  </si>
  <si>
    <t xml:space="preserve">The mobile application supports forms incorporating dynamic data entry user interfaces. For example, if data entered in field of a form has a certain value, other fields of that form can be made mandatory entry fields. </t>
  </si>
  <si>
    <t>The application must log login failures.</t>
  </si>
  <si>
    <t>The Mobile Data module is capable of utilizing Advanced Encryption Standard (AES) without degradation of system throughout.</t>
  </si>
  <si>
    <t>The mobile application provides a feature that allows a user to lock mobile device access (e.g. officer out of the car).</t>
  </si>
  <si>
    <t>An authorized user can set the mobile application to allow units in the field to initiate incidents which are routed to the dispatcher responsible for the unit.</t>
  </si>
  <si>
    <t>The mobile application can display CAD events using different colors for different priorities.</t>
  </si>
  <si>
    <t>The mobile application can utilize mobile data terminals with touch screen technology.</t>
  </si>
  <si>
    <t>Mobile client can perform all unit status changes that are available within the CAD system.</t>
  </si>
  <si>
    <t>The system mobile application is able to update CAD with unit shift activity information, e.g., station change, other location changes, manpower changes.</t>
  </si>
  <si>
    <t>adding comment(s) to call</t>
  </si>
  <si>
    <t>If an incident is open on the mobile client (displayed in detail), changes to that incident will show up in the incident queue.</t>
  </si>
  <si>
    <t>Mobile application must allow for various broadband connectivity using commercial carrier(s) and associated functional aspects of them in the field, e.g., aircard, hotspot, Wi-Fi.</t>
  </si>
  <si>
    <t>The mobile application supports multiple mechanisms for data communication, e.g. CDMA, 802.11x, GPRS, private RF, cellular.</t>
  </si>
  <si>
    <t>The mobile application is capable of utilizing 802.11x hot spots throughout the jurisdiction to allow greater data throughout.</t>
  </si>
  <si>
    <t>The mobile application can access the Internet from mobile device using group policies defined by Microsoft Active Directory TM.</t>
  </si>
  <si>
    <t xml:space="preserve">The mobile application supports seamless integration with web-based 3-dimensional geospacial mapping (e.g. Pictometry Visual Intelligence, Eagle View). </t>
  </si>
  <si>
    <t>The mobile application supports maps developed with an ESRI geodatabase.</t>
  </si>
  <si>
    <t>Ability to attach user defined file types to messages</t>
  </si>
  <si>
    <t>Tow</t>
  </si>
  <si>
    <t>Officer Daily Log</t>
  </si>
  <si>
    <t>CAD Incident Information</t>
  </si>
  <si>
    <t>CAD Unit Status Changes</t>
  </si>
  <si>
    <t>Manual Officer Entries/Narrative</t>
  </si>
  <si>
    <t>The mobile application provides a method of changing the unit capabilities (e.g., unit type, station assignment, or manpower updates) from the MDD without logging off.</t>
  </si>
  <si>
    <t>The mobile application does not conflict with other applications (e.g. TRACs, MobileCAD, WatchGuard, Itech, Caliber).</t>
  </si>
  <si>
    <t xml:space="preserve">Ability to view photos from DMV (or SOS) return messages.  </t>
  </si>
  <si>
    <t>All automatic transmissions that are initiated by/attached to a CFS must be logged on the call and accessible.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</si>
</sst>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1"/>
      <color theme="1"/>
      <name val="Calibri"/>
      <family val="2"/>
      <scheme val="minor"/>
    </font>
    <font>
      <sz val="11"/>
      <name val="Times New Roman"/>
      <family val="1"/>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b/>
      <sz val="12"/>
      <name val="Arial"/>
      <family val="2"/>
    </font>
    <font>
      <sz val="12"/>
      <name val="Arial"/>
      <family val="2"/>
    </font>
    <font>
      <sz val="11"/>
      <name val="Arial"/>
      <family val="2"/>
    </font>
    <font>
      <b/>
      <sz val="11"/>
      <color theme="1"/>
      <name val="Calibri"/>
      <family val="2"/>
      <scheme val="minor"/>
    </font>
    <font>
      <sz val="7"/>
      <color theme="1"/>
      <name val="Calibri"/>
      <family val="2"/>
      <scheme val="minor"/>
    </font>
    <font>
      <sz val="9"/>
      <name val="Arial"/>
      <family val="2"/>
    </font>
    <font>
      <sz val="12"/>
      <color theme="1"/>
      <name val="Arial"/>
      <family val="2"/>
    </font>
    <font>
      <b/>
      <sz val="12"/>
      <name val="Calibri"/>
      <family val="2"/>
      <scheme val="minor"/>
    </font>
    <font>
      <b/>
      <u/>
      <sz val="11"/>
      <color theme="1"/>
      <name val="Calibri"/>
      <family val="2"/>
      <scheme val="minor"/>
    </font>
    <font>
      <b/>
      <u/>
      <sz val="11"/>
      <name val="Calibri"/>
      <family val="2"/>
      <scheme val="minor"/>
    </font>
    <font>
      <b/>
      <sz val="14"/>
      <name val="Calibri"/>
      <family val="2"/>
      <scheme val="minor"/>
    </font>
    <font>
      <sz val="11"/>
      <color theme="1"/>
      <name val="Calibri"/>
      <family val="2"/>
      <scheme val="minor"/>
    </font>
    <font>
      <sz val="11"/>
      <name val="Times New Roman"/>
      <family val="1"/>
    </font>
    <font>
      <b/>
      <u/>
      <sz val="16"/>
      <name val="Arial"/>
      <family val="2"/>
    </font>
    <font>
      <b/>
      <sz val="14"/>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medium">
        <color indexed="64"/>
      </top>
      <bottom style="thin">
        <color indexed="64"/>
      </bottom>
      <diagonal/>
    </border>
    <border>
      <left/>
      <right style="thin">
        <color auto="1"/>
      </right>
      <top/>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
      <left style="thin">
        <color indexed="64"/>
      </left>
      <right style="dashed">
        <color theme="0" tint="-0.499984740745262"/>
      </right>
      <top style="dashed">
        <color theme="0" tint="-0.499984740745262"/>
      </top>
      <bottom style="dashed">
        <color theme="0" tint="-0.499984740745262"/>
      </bottom>
      <diagonal/>
    </border>
    <border>
      <left style="dashed">
        <color theme="0" tint="-0.499984740745262"/>
      </left>
      <right style="thin">
        <color indexed="64"/>
      </right>
      <top style="dashed">
        <color theme="0" tint="-0.499984740745262"/>
      </top>
      <bottom style="dashed">
        <color theme="0" tint="-0.499984740745262"/>
      </bottom>
      <diagonal/>
    </border>
    <border>
      <left style="thin">
        <color indexed="64"/>
      </left>
      <right style="dashed">
        <color theme="0" tint="-0.499984740745262"/>
      </right>
      <top/>
      <bottom style="dashed">
        <color theme="0" tint="-0.499984740745262"/>
      </bottom>
      <diagonal/>
    </border>
    <border>
      <left style="dashed">
        <color theme="0" tint="-0.499984740745262"/>
      </left>
      <right style="thin">
        <color indexed="64"/>
      </right>
      <top/>
      <bottom style="dashed">
        <color theme="0" tint="-0.499984740745262"/>
      </bottom>
      <diagonal/>
    </border>
    <border>
      <left style="dashed">
        <color theme="0" tint="-0.499984740745262"/>
      </left>
      <right style="dashed">
        <color theme="0" tint="-0.499984740745262"/>
      </right>
      <top/>
      <bottom/>
      <diagonal/>
    </border>
    <border>
      <left style="dashed">
        <color theme="0" tint="-0.499984740745262"/>
      </left>
      <right style="thin">
        <color indexed="64"/>
      </right>
      <top style="dashed">
        <color theme="0" tint="-0.499984740745262"/>
      </top>
      <bottom/>
      <diagonal/>
    </border>
    <border>
      <left style="thin">
        <color indexed="64"/>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dashed">
        <color theme="1" tint="0.14999847407452621"/>
      </left>
      <right/>
      <top style="dashed">
        <color theme="1" tint="0.14999847407452621"/>
      </top>
      <bottom/>
      <diagonal/>
    </border>
    <border>
      <left/>
      <right/>
      <top style="dashed">
        <color theme="1" tint="0.14999847407452621"/>
      </top>
      <bottom/>
      <diagonal/>
    </border>
    <border>
      <left/>
      <right style="dashed">
        <color theme="1" tint="0.14999847407452621"/>
      </right>
      <top style="dashed">
        <color theme="1" tint="0.14999847407452621"/>
      </top>
      <bottom/>
      <diagonal/>
    </border>
    <border>
      <left style="dashed">
        <color theme="1" tint="0.14999847407452621"/>
      </left>
      <right/>
      <top/>
      <bottom/>
      <diagonal/>
    </border>
    <border>
      <left/>
      <right style="dashed">
        <color theme="1" tint="0.14999847407452621"/>
      </right>
      <top/>
      <bottom/>
      <diagonal/>
    </border>
    <border>
      <left style="dashed">
        <color theme="1" tint="0.14999847407452621"/>
      </left>
      <right/>
      <top style="medium">
        <color indexed="64"/>
      </top>
      <bottom/>
      <diagonal/>
    </border>
    <border>
      <left style="dashed">
        <color theme="1" tint="0.14999847407452621"/>
      </left>
      <right/>
      <top/>
      <bottom style="medium">
        <color indexed="64"/>
      </bottom>
      <diagonal/>
    </border>
    <border>
      <left style="dashed">
        <color theme="1" tint="0.14999847407452621"/>
      </left>
      <right/>
      <top/>
      <bottom style="dashed">
        <color theme="1" tint="0.14999847407452621"/>
      </bottom>
      <diagonal/>
    </border>
    <border>
      <left/>
      <right/>
      <top/>
      <bottom style="dashed">
        <color theme="1" tint="0.14999847407452621"/>
      </bottom>
      <diagonal/>
    </border>
    <border>
      <left/>
      <right style="dashed">
        <color theme="1" tint="0.14999847407452621"/>
      </right>
      <top/>
      <bottom style="dashed">
        <color theme="1" tint="0.14999847407452621"/>
      </bottom>
      <diagonal/>
    </border>
    <border>
      <left/>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dotted">
        <color indexed="64"/>
      </bottom>
      <diagonal/>
    </border>
    <border>
      <left/>
      <right/>
      <top style="dotted">
        <color indexed="64"/>
      </top>
      <bottom style="dotted">
        <color indexed="64"/>
      </bottom>
      <diagonal/>
    </border>
    <border>
      <left/>
      <right/>
      <top style="medium">
        <color indexed="64"/>
      </top>
      <bottom/>
      <diagonal/>
    </border>
    <border>
      <left style="thin">
        <color indexed="64"/>
      </left>
      <right style="dashed">
        <color theme="0" tint="-0.499984740745262"/>
      </right>
      <top/>
      <bottom/>
      <diagonal/>
    </border>
    <border>
      <left style="dashed">
        <color theme="0" tint="-0.499984740745262"/>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theme="0" tint="-0.499984740745262"/>
      </right>
      <top style="dashed">
        <color theme="0" tint="-0.499984740745262"/>
      </top>
      <bottom style="medium">
        <color indexed="64"/>
      </bottom>
      <diagonal/>
    </border>
    <border>
      <left style="dashed">
        <color theme="0" tint="-0.499984740745262"/>
      </left>
      <right style="dashed">
        <color theme="0" tint="-0.499984740745262"/>
      </right>
      <top style="dashed">
        <color theme="0" tint="-0.499984740745262"/>
      </top>
      <bottom style="medium">
        <color indexed="64"/>
      </bottom>
      <diagonal/>
    </border>
    <border>
      <left style="dashed">
        <color theme="0" tint="-0.499984740745262"/>
      </left>
      <right style="thin">
        <color indexed="64"/>
      </right>
      <top style="dashed">
        <color theme="0" tint="-0.499984740745262"/>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dashed">
        <color theme="1" tint="0.14999847407452621"/>
      </top>
      <bottom style="dashed">
        <color theme="1" tint="0.14999847407452621"/>
      </bottom>
      <diagonal/>
    </border>
    <border>
      <left style="dashed">
        <color theme="0" tint="-0.499984740745262"/>
      </left>
      <right style="thin">
        <color indexed="64"/>
      </right>
      <top/>
      <bottom/>
      <diagonal/>
    </border>
    <border>
      <left style="thin">
        <color indexed="64"/>
      </left>
      <right style="dashed">
        <color theme="0" tint="-0.499984740745262"/>
      </right>
      <top style="dashed">
        <color theme="0" tint="-0.499984740745262"/>
      </top>
      <bottom style="dotted">
        <color indexed="64"/>
      </bottom>
      <diagonal/>
    </border>
    <border>
      <left style="dashed">
        <color theme="0" tint="-0.499984740745262"/>
      </left>
      <right style="dashed">
        <color theme="0" tint="-0.499984740745262"/>
      </right>
      <top style="dashed">
        <color theme="0" tint="-0.499984740745262"/>
      </top>
      <bottom style="dotted">
        <color indexed="64"/>
      </bottom>
      <diagonal/>
    </border>
    <border>
      <left style="dashed">
        <color theme="0" tint="-0.499984740745262"/>
      </left>
      <right style="thin">
        <color indexed="64"/>
      </right>
      <top style="dashed">
        <color theme="0" tint="-0.499984740745262"/>
      </top>
      <bottom style="dotted">
        <color indexed="64"/>
      </bottom>
      <diagonal/>
    </border>
    <border>
      <left/>
      <right style="thin">
        <color indexed="64"/>
      </right>
      <top/>
      <bottom style="medium">
        <color indexed="64"/>
      </bottom>
      <diagonal/>
    </border>
    <border>
      <left style="thin">
        <color indexed="64"/>
      </left>
      <right style="dashed">
        <color theme="0" tint="-0.499984740745262"/>
      </right>
      <top style="dashed">
        <color theme="0" tint="-0.499984740745262"/>
      </top>
      <bottom style="thin">
        <color indexed="64"/>
      </bottom>
      <diagonal/>
    </border>
    <border>
      <left style="dashed">
        <color theme="0" tint="-0.499984740745262"/>
      </left>
      <right style="dashed">
        <color theme="0" tint="-0.499984740745262"/>
      </right>
      <top style="dashed">
        <color theme="0" tint="-0.499984740745262"/>
      </top>
      <bottom style="thin">
        <color indexed="64"/>
      </bottom>
      <diagonal/>
    </border>
    <border>
      <left style="dashed">
        <color theme="0" tint="-0.499984740745262"/>
      </left>
      <right style="dashed">
        <color theme="0" tint="-0.499984740745262"/>
      </right>
      <top/>
      <bottom style="thin">
        <color indexed="64"/>
      </bottom>
      <diagonal/>
    </border>
    <border>
      <left style="dashed">
        <color theme="0" tint="-0.499984740745262"/>
      </left>
      <right style="thin">
        <color indexed="64"/>
      </right>
      <top style="dashed">
        <color theme="0" tint="-0.499984740745262"/>
      </top>
      <bottom style="thin">
        <color indexed="64"/>
      </bottom>
      <diagonal/>
    </border>
  </borders>
  <cellStyleXfs count="57">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1" fillId="0" borderId="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23" borderId="7" applyNumberFormat="0" applyFont="0" applyAlignment="0" applyProtection="0"/>
    <xf numFmtId="0" fontId="2" fillId="23" borderId="35" applyNumberFormat="0" applyFont="0" applyAlignment="0" applyProtection="0"/>
    <xf numFmtId="0" fontId="17" fillId="20" borderId="36" applyNumberFormat="0" applyAlignment="0" applyProtection="0"/>
    <xf numFmtId="0" fontId="19" fillId="0" borderId="37" applyNumberFormat="0" applyFill="0" applyAlignment="0" applyProtection="0"/>
    <xf numFmtId="0" fontId="2" fillId="23" borderId="35" applyNumberFormat="0" applyFont="0" applyAlignment="0" applyProtection="0"/>
    <xf numFmtId="0" fontId="7" fillId="20" borderId="38" applyNumberFormat="0" applyAlignment="0" applyProtection="0"/>
    <xf numFmtId="0" fontId="14" fillId="7" borderId="38" applyNumberFormat="0" applyAlignment="0" applyProtection="0"/>
    <xf numFmtId="0" fontId="34" fillId="0" borderId="0"/>
    <xf numFmtId="0" fontId="1" fillId="0" borderId="0"/>
    <xf numFmtId="0" fontId="33" fillId="0" borderId="0"/>
    <xf numFmtId="0" fontId="2" fillId="0" borderId="0"/>
    <xf numFmtId="0" fontId="33" fillId="0" borderId="0"/>
  </cellStyleXfs>
  <cellXfs count="271">
    <xf numFmtId="0" fontId="0" fillId="0" borderId="0" xfId="0"/>
    <xf numFmtId="0" fontId="21" fillId="0" borderId="10" xfId="39" applyBorder="1" applyAlignment="1">
      <alignment horizontal="center"/>
    </xf>
    <xf numFmtId="0" fontId="21" fillId="0" borderId="11" xfId="39" applyBorder="1" applyAlignment="1">
      <alignment horizontal="center"/>
    </xf>
    <xf numFmtId="0" fontId="21" fillId="0" borderId="12" xfId="39" applyBorder="1" applyAlignment="1">
      <alignment horizontal="center"/>
    </xf>
    <xf numFmtId="0" fontId="25" fillId="0" borderId="0" xfId="0" applyFont="1" applyAlignment="1">
      <alignment horizontal="center" wrapText="1"/>
    </xf>
    <xf numFmtId="0" fontId="0" fillId="0" borderId="0" xfId="0" applyAlignment="1">
      <alignment horizontal="center"/>
    </xf>
    <xf numFmtId="0" fontId="30" fillId="0" borderId="0" xfId="0" applyFont="1" applyAlignment="1">
      <alignment horizontal="center" wrapText="1"/>
    </xf>
    <xf numFmtId="0" fontId="31" fillId="24" borderId="13" xfId="1" applyFont="1" applyFill="1" applyBorder="1" applyAlignment="1">
      <alignment horizontal="center" wrapText="1"/>
    </xf>
    <xf numFmtId="0" fontId="0" fillId="0" borderId="13" xfId="0" applyBorder="1" applyAlignment="1">
      <alignment horizontal="center"/>
    </xf>
    <xf numFmtId="0" fontId="0" fillId="0" borderId="13" xfId="0" applyBorder="1" applyAlignment="1">
      <alignment horizontal="right"/>
    </xf>
    <xf numFmtId="0" fontId="3" fillId="0" borderId="0" xfId="39" applyFont="1" applyAlignment="1">
      <alignment horizontal="center"/>
    </xf>
    <xf numFmtId="0" fontId="30" fillId="0" borderId="0" xfId="0" applyFont="1" applyAlignment="1">
      <alignment horizontal="center"/>
    </xf>
    <xf numFmtId="0" fontId="0" fillId="0" borderId="47" xfId="0" applyBorder="1"/>
    <xf numFmtId="0" fontId="3" fillId="0" borderId="48" xfId="39" applyFont="1" applyBorder="1"/>
    <xf numFmtId="0" fontId="3" fillId="0" borderId="49" xfId="39" applyFont="1" applyBorder="1" applyAlignment="1">
      <alignment horizontal="center"/>
    </xf>
    <xf numFmtId="0" fontId="21" fillId="0" borderId="50" xfId="39" applyBorder="1"/>
    <xf numFmtId="0" fontId="21" fillId="0" borderId="49" xfId="39" applyBorder="1" applyAlignment="1">
      <alignment horizontal="center"/>
    </xf>
    <xf numFmtId="0" fontId="21" fillId="0" borderId="48" xfId="39" applyBorder="1"/>
    <xf numFmtId="0" fontId="21" fillId="0" borderId="51" xfId="39" applyBorder="1"/>
    <xf numFmtId="0" fontId="0" fillId="0" borderId="48" xfId="0" applyBorder="1"/>
    <xf numFmtId="0" fontId="0" fillId="0" borderId="49" xfId="0" applyBorder="1"/>
    <xf numFmtId="0" fontId="0" fillId="0" borderId="52" xfId="0" applyBorder="1"/>
    <xf numFmtId="0" fontId="0" fillId="0" borderId="53" xfId="0" applyBorder="1"/>
    <xf numFmtId="0" fontId="0" fillId="0" borderId="54" xfId="0" applyBorder="1"/>
    <xf numFmtId="0" fontId="0" fillId="0" borderId="45" xfId="0" applyBorder="1"/>
    <xf numFmtId="0" fontId="0" fillId="0" borderId="46" xfId="0" applyBorder="1"/>
    <xf numFmtId="0" fontId="29" fillId="24" borderId="17" xfId="1" applyFont="1" applyFill="1" applyBorder="1" applyAlignment="1">
      <alignment horizontal="left" vertical="center"/>
    </xf>
    <xf numFmtId="0" fontId="29" fillId="24" borderId="18" xfId="1" applyFont="1" applyFill="1" applyBorder="1" applyAlignment="1">
      <alignment horizontal="left" vertical="center"/>
    </xf>
    <xf numFmtId="0" fontId="0" fillId="0" borderId="23" xfId="0" applyBorder="1" applyAlignment="1">
      <alignment horizontal="center" vertical="center"/>
    </xf>
    <xf numFmtId="0" fontId="0" fillId="0" borderId="55" xfId="0" applyBorder="1" applyAlignment="1">
      <alignment horizontal="center" vertical="center"/>
    </xf>
    <xf numFmtId="0" fontId="0" fillId="0" borderId="17" xfId="0" applyBorder="1" applyAlignment="1">
      <alignment horizontal="center" vertical="center"/>
    </xf>
    <xf numFmtId="0" fontId="32" fillId="24" borderId="16" xfId="1" applyFont="1" applyFill="1" applyBorder="1" applyAlignment="1">
      <alignment horizontal="left" vertical="center"/>
    </xf>
    <xf numFmtId="0" fontId="0" fillId="0" borderId="60" xfId="0" applyBorder="1"/>
    <xf numFmtId="0" fontId="0" fillId="0" borderId="59" xfId="0" applyBorder="1" applyAlignment="1">
      <alignment horizontal="center"/>
    </xf>
    <xf numFmtId="0" fontId="0" fillId="0" borderId="60" xfId="0" applyBorder="1" applyAlignment="1">
      <alignment horizontal="center"/>
    </xf>
    <xf numFmtId="0" fontId="0" fillId="0" borderId="59" xfId="0" applyBorder="1"/>
    <xf numFmtId="0" fontId="23" fillId="0" borderId="71" xfId="1" applyFont="1" applyBorder="1" applyAlignment="1" applyProtection="1">
      <alignment horizontal="left" vertical="center" wrapText="1"/>
      <protection locked="0"/>
    </xf>
    <xf numFmtId="0" fontId="23" fillId="0" borderId="73" xfId="1" applyFont="1" applyBorder="1" applyAlignment="1" applyProtection="1">
      <alignment horizontal="left" vertical="center" wrapText="1"/>
      <protection locked="0"/>
    </xf>
    <xf numFmtId="0" fontId="23" fillId="0" borderId="74" xfId="1" applyFont="1" applyBorder="1" applyAlignment="1" applyProtection="1">
      <alignment horizontal="left" vertical="center" wrapText="1"/>
      <protection locked="0"/>
    </xf>
    <xf numFmtId="0" fontId="23" fillId="0" borderId="82" xfId="1" applyFont="1" applyBorder="1" applyAlignment="1" applyProtection="1">
      <alignment horizontal="left" vertical="center" wrapText="1"/>
      <protection locked="0"/>
    </xf>
    <xf numFmtId="0" fontId="23" fillId="0" borderId="17" xfId="1" applyFont="1" applyBorder="1" applyAlignment="1" applyProtection="1">
      <alignment horizontal="left" vertical="center" wrapText="1"/>
      <protection locked="0"/>
    </xf>
    <xf numFmtId="0" fontId="23" fillId="0" borderId="16" xfId="1" applyFont="1" applyBorder="1" applyAlignment="1" applyProtection="1">
      <alignment horizontal="left" vertical="center" wrapText="1"/>
      <protection locked="0"/>
    </xf>
    <xf numFmtId="0" fontId="23" fillId="0" borderId="0" xfId="1" applyFont="1" applyAlignment="1" applyProtection="1">
      <alignment horizontal="left" vertical="center" wrapText="1"/>
      <protection locked="0"/>
    </xf>
    <xf numFmtId="0" fontId="23" fillId="0" borderId="83" xfId="1" applyFont="1" applyBorder="1" applyAlignment="1" applyProtection="1">
      <alignment horizontal="left" vertical="center" wrapText="1"/>
      <protection locked="0"/>
    </xf>
    <xf numFmtId="0" fontId="23" fillId="0" borderId="64" xfId="1" applyFont="1" applyBorder="1" applyAlignment="1" applyProtection="1">
      <alignment horizontal="left" vertical="center" wrapText="1"/>
      <protection locked="0"/>
    </xf>
    <xf numFmtId="0" fontId="0" fillId="0" borderId="81" xfId="0" applyBorder="1" applyAlignment="1">
      <alignment horizontal="center" vertical="center"/>
    </xf>
    <xf numFmtId="0" fontId="0" fillId="0" borderId="68" xfId="0" applyBorder="1" applyAlignment="1">
      <alignment horizontal="center" vertical="center"/>
    </xf>
    <xf numFmtId="0" fontId="32" fillId="24" borderId="69" xfId="1" applyFont="1" applyFill="1" applyBorder="1" applyAlignment="1">
      <alignment horizontal="left" vertical="center"/>
    </xf>
    <xf numFmtId="0" fontId="29" fillId="24" borderId="71" xfId="1" applyFont="1" applyFill="1" applyBorder="1" applyAlignment="1">
      <alignment horizontal="left" vertical="center"/>
    </xf>
    <xf numFmtId="0" fontId="0" fillId="0" borderId="87" xfId="0" applyBorder="1" applyAlignment="1">
      <alignment horizontal="center" vertical="center"/>
    </xf>
    <xf numFmtId="0" fontId="0" fillId="0" borderId="80" xfId="0" applyBorder="1" applyAlignment="1">
      <alignment horizontal="center" vertical="center"/>
    </xf>
    <xf numFmtId="0" fontId="31" fillId="24" borderId="88" xfId="1" applyFont="1" applyFill="1" applyBorder="1" applyAlignment="1">
      <alignment horizontal="center" wrapText="1"/>
    </xf>
    <xf numFmtId="0" fontId="31" fillId="24" borderId="74" xfId="1" applyFont="1" applyFill="1" applyBorder="1" applyAlignment="1">
      <alignment horizontal="center" wrapText="1"/>
    </xf>
    <xf numFmtId="0" fontId="0" fillId="0" borderId="88" xfId="0" applyBorder="1" applyAlignment="1">
      <alignment horizontal="center"/>
    </xf>
    <xf numFmtId="0" fontId="0" fillId="0" borderId="74" xfId="0" applyBorder="1" applyAlignment="1">
      <alignment horizontal="right"/>
    </xf>
    <xf numFmtId="0" fontId="0" fillId="0" borderId="69" xfId="0" applyBorder="1" applyAlignment="1">
      <alignment horizontal="center" vertical="center"/>
    </xf>
    <xf numFmtId="0" fontId="0" fillId="0" borderId="71" xfId="0" applyBorder="1" applyAlignment="1">
      <alignment horizontal="center" vertical="center"/>
    </xf>
    <xf numFmtId="0" fontId="36" fillId="25" borderId="39" xfId="1" applyFont="1" applyFill="1" applyBorder="1" applyAlignment="1">
      <alignment horizontal="left" vertical="center"/>
    </xf>
    <xf numFmtId="0" fontId="22" fillId="25" borderId="40" xfId="1" applyFont="1" applyFill="1" applyBorder="1" applyAlignment="1">
      <alignment horizontal="center" vertical="center" wrapText="1"/>
    </xf>
    <xf numFmtId="0" fontId="22" fillId="25" borderId="41" xfId="1" applyFont="1" applyFill="1" applyBorder="1" applyAlignment="1">
      <alignment horizontal="center" vertical="center" wrapText="1"/>
    </xf>
    <xf numFmtId="0" fontId="22" fillId="25" borderId="39" xfId="1" applyFont="1" applyFill="1" applyBorder="1" applyAlignment="1">
      <alignment horizontal="center" vertical="center"/>
    </xf>
    <xf numFmtId="0" fontId="36" fillId="25" borderId="40" xfId="1" applyFont="1" applyFill="1" applyBorder="1" applyAlignment="1">
      <alignment horizontal="center" vertical="center" wrapText="1"/>
    </xf>
    <xf numFmtId="0" fontId="23" fillId="26" borderId="17" xfId="1" applyFont="1" applyFill="1" applyBorder="1" applyAlignment="1" applyProtection="1">
      <alignment horizontal="left" vertical="center" wrapText="1"/>
      <protection locked="0"/>
    </xf>
    <xf numFmtId="0" fontId="23" fillId="26" borderId="16" xfId="1" applyFont="1" applyFill="1" applyBorder="1" applyAlignment="1" applyProtection="1">
      <alignment horizontal="left" vertical="center" wrapText="1"/>
      <protection locked="0"/>
    </xf>
    <xf numFmtId="0" fontId="23" fillId="26" borderId="0" xfId="1" applyFont="1" applyFill="1" applyAlignment="1" applyProtection="1">
      <alignment horizontal="left" vertical="center" wrapText="1"/>
      <protection locked="0"/>
    </xf>
    <xf numFmtId="0" fontId="23" fillId="26" borderId="83" xfId="1" applyFont="1" applyFill="1" applyBorder="1" applyAlignment="1" applyProtection="1">
      <alignment horizontal="left" vertical="center" wrapText="1"/>
      <protection locked="0"/>
    </xf>
    <xf numFmtId="0" fontId="23" fillId="26" borderId="64" xfId="1" applyFont="1" applyFill="1" applyBorder="1" applyAlignment="1" applyProtection="1">
      <alignment horizontal="left" vertical="center" wrapText="1"/>
      <protection locked="0"/>
    </xf>
    <xf numFmtId="0" fontId="23" fillId="26" borderId="55" xfId="1" applyFont="1" applyFill="1" applyBorder="1" applyAlignment="1" applyProtection="1">
      <alignment horizontal="left" vertical="center" wrapText="1"/>
      <protection locked="0"/>
    </xf>
    <xf numFmtId="0" fontId="26" fillId="26" borderId="27" xfId="0" applyFont="1" applyFill="1" applyBorder="1" applyAlignment="1">
      <alignment horizontal="center" wrapText="1"/>
    </xf>
    <xf numFmtId="49" fontId="24" fillId="26" borderId="13" xfId="0" applyNumberFormat="1" applyFont="1" applyFill="1" applyBorder="1" applyAlignment="1">
      <alignment vertical="center" wrapText="1"/>
    </xf>
    <xf numFmtId="0" fontId="24" fillId="26" borderId="13" xfId="0" applyFont="1" applyFill="1" applyBorder="1" applyAlignment="1">
      <alignment vertical="center" wrapText="1"/>
    </xf>
    <xf numFmtId="0" fontId="24" fillId="26" borderId="13" xfId="0" applyFont="1" applyFill="1" applyBorder="1" applyAlignment="1">
      <alignment horizontal="left" vertical="center" wrapText="1"/>
    </xf>
    <xf numFmtId="0" fontId="24" fillId="24" borderId="17" xfId="0" applyFont="1" applyFill="1" applyBorder="1" applyAlignment="1">
      <alignment horizontal="left" vertical="center" wrapText="1"/>
    </xf>
    <xf numFmtId="0" fontId="24" fillId="26" borderId="13" xfId="0" applyFont="1" applyFill="1" applyBorder="1" applyAlignment="1">
      <alignment horizontal="left" vertical="center" wrapText="1" indent="2"/>
    </xf>
    <xf numFmtId="0" fontId="23" fillId="0" borderId="17" xfId="1" applyFont="1" applyBorder="1" applyAlignment="1">
      <alignment horizontal="left" vertical="center" wrapText="1"/>
    </xf>
    <xf numFmtId="0" fontId="24" fillId="0" borderId="13" xfId="1" applyFont="1" applyBorder="1" applyAlignment="1">
      <alignment horizontal="center" vertical="center"/>
    </xf>
    <xf numFmtId="0" fontId="24" fillId="0" borderId="13" xfId="39" applyFont="1" applyBorder="1" applyAlignment="1">
      <alignment horizontal="left" vertical="center" wrapText="1" indent="2"/>
    </xf>
    <xf numFmtId="0" fontId="26" fillId="0" borderId="0" xfId="0" applyFont="1" applyAlignment="1">
      <alignment horizontal="center" wrapText="1"/>
    </xf>
    <xf numFmtId="0" fontId="28" fillId="0" borderId="0" xfId="0" applyFont="1"/>
    <xf numFmtId="0" fontId="23" fillId="25" borderId="65" xfId="1" applyFont="1" applyFill="1" applyBorder="1" applyAlignment="1">
      <alignment horizontal="center" vertical="center" wrapText="1"/>
    </xf>
    <xf numFmtId="0" fontId="23" fillId="25" borderId="66" xfId="1" applyFont="1" applyFill="1" applyBorder="1" applyAlignment="1">
      <alignment horizontal="center" vertical="center" textRotation="90" wrapText="1"/>
    </xf>
    <xf numFmtId="0" fontId="23" fillId="25" borderId="66" xfId="1" applyFont="1" applyFill="1" applyBorder="1" applyAlignment="1">
      <alignment horizontal="center" vertical="center" textRotation="90"/>
    </xf>
    <xf numFmtId="0" fontId="23" fillId="25" borderId="67" xfId="1" applyFont="1" applyFill="1" applyBorder="1" applyAlignment="1">
      <alignment horizontal="center" vertical="center" textRotation="90"/>
    </xf>
    <xf numFmtId="0" fontId="23" fillId="25" borderId="66" xfId="1" applyFont="1" applyFill="1" applyBorder="1" applyAlignment="1">
      <alignment horizontal="center" vertical="center" wrapText="1"/>
    </xf>
    <xf numFmtId="0" fontId="22" fillId="24" borderId="67" xfId="1" applyFont="1" applyFill="1" applyBorder="1" applyAlignment="1">
      <alignment vertical="center"/>
    </xf>
    <xf numFmtId="0" fontId="22" fillId="24" borderId="61" xfId="1" applyFont="1" applyFill="1" applyBorder="1" applyAlignment="1">
      <alignment vertical="center"/>
    </xf>
    <xf numFmtId="0" fontId="26" fillId="0" borderId="62" xfId="0" applyFont="1" applyBorder="1" applyAlignment="1">
      <alignment horizontal="center" wrapText="1"/>
    </xf>
    <xf numFmtId="0" fontId="23" fillId="0" borderId="63" xfId="1" applyFont="1" applyBorder="1"/>
    <xf numFmtId="0" fontId="27" fillId="0" borderId="56" xfId="1" applyFont="1" applyBorder="1" applyAlignment="1">
      <alignment horizontal="center" vertical="center" wrapText="1"/>
    </xf>
    <xf numFmtId="0" fontId="27" fillId="0" borderId="57" xfId="1" applyFont="1" applyBorder="1" applyAlignment="1">
      <alignment horizontal="center" vertical="center" wrapText="1"/>
    </xf>
    <xf numFmtId="0" fontId="23" fillId="0" borderId="57" xfId="1" applyFont="1" applyBorder="1" applyAlignment="1">
      <alignment horizontal="center" vertical="center"/>
    </xf>
    <xf numFmtId="0" fontId="22" fillId="24" borderId="68" xfId="1" applyFont="1" applyFill="1" applyBorder="1" applyAlignment="1">
      <alignment vertical="center"/>
    </xf>
    <xf numFmtId="0" fontId="0" fillId="0" borderId="20" xfId="0" applyBorder="1"/>
    <xf numFmtId="0" fontId="0" fillId="0" borderId="64" xfId="0" applyBorder="1"/>
    <xf numFmtId="0" fontId="22" fillId="24" borderId="69" xfId="1" applyFont="1" applyFill="1" applyBorder="1" applyAlignment="1">
      <alignment vertical="center"/>
    </xf>
    <xf numFmtId="0" fontId="22" fillId="24" borderId="17" xfId="1" applyFont="1" applyFill="1" applyBorder="1" applyAlignment="1">
      <alignment vertical="center"/>
    </xf>
    <xf numFmtId="0" fontId="22" fillId="24" borderId="11" xfId="1" applyFont="1" applyFill="1" applyBorder="1" applyAlignment="1">
      <alignment vertical="center"/>
    </xf>
    <xf numFmtId="0" fontId="24" fillId="0" borderId="70" xfId="1" applyFont="1" applyBorder="1" applyAlignment="1">
      <alignment horizontal="center" vertical="center"/>
    </xf>
    <xf numFmtId="0" fontId="24" fillId="0" borderId="14" xfId="1" applyFont="1" applyBorder="1" applyAlignment="1">
      <alignment horizontal="center" vertical="center"/>
    </xf>
    <xf numFmtId="0" fontId="24" fillId="0" borderId="14" xfId="1" applyFont="1" applyBorder="1" applyAlignment="1">
      <alignment horizontal="center" vertical="center" wrapText="1"/>
    </xf>
    <xf numFmtId="0" fontId="24" fillId="0" borderId="14" xfId="52" applyFont="1" applyBorder="1" applyAlignment="1">
      <alignment vertical="center" wrapText="1"/>
    </xf>
    <xf numFmtId="0" fontId="23" fillId="24" borderId="15" xfId="53" applyFont="1" applyFill="1" applyBorder="1" applyAlignment="1">
      <alignment horizontal="center" vertical="center" shrinkToFit="1"/>
    </xf>
    <xf numFmtId="0" fontId="26" fillId="0" borderId="27" xfId="0" applyFont="1" applyBorder="1" applyAlignment="1">
      <alignment horizontal="center" wrapText="1"/>
    </xf>
    <xf numFmtId="0" fontId="23" fillId="0" borderId="22" xfId="1" applyFont="1" applyBorder="1"/>
    <xf numFmtId="0" fontId="23" fillId="0" borderId="26" xfId="1" applyFont="1" applyBorder="1" applyAlignment="1">
      <alignment horizontal="center"/>
    </xf>
    <xf numFmtId="0" fontId="24" fillId="0" borderId="26" xfId="1" applyFont="1" applyBorder="1" applyAlignment="1">
      <alignment horizontal="center"/>
    </xf>
    <xf numFmtId="0" fontId="23" fillId="0" borderId="30" xfId="1" applyFont="1" applyBorder="1" applyAlignment="1">
      <alignment horizontal="center"/>
    </xf>
    <xf numFmtId="0" fontId="23" fillId="0" borderId="71" xfId="1" applyFont="1" applyBorder="1" applyAlignment="1">
      <alignment horizontal="left" vertical="center" wrapText="1"/>
    </xf>
    <xf numFmtId="0" fontId="24" fillId="0" borderId="13" xfId="52" applyFont="1" applyBorder="1" applyAlignment="1">
      <alignment vertical="center" wrapText="1"/>
    </xf>
    <xf numFmtId="0" fontId="23" fillId="24" borderId="13" xfId="53" applyFont="1" applyFill="1" applyBorder="1" applyAlignment="1">
      <alignment horizontal="center" vertical="center" shrinkToFit="1"/>
    </xf>
    <xf numFmtId="0" fontId="24" fillId="0" borderId="72" xfId="1" applyFont="1" applyBorder="1" applyAlignment="1">
      <alignment horizontal="center" vertical="center"/>
    </xf>
    <xf numFmtId="0" fontId="24" fillId="0" borderId="44" xfId="1" applyFont="1" applyBorder="1" applyAlignment="1">
      <alignment horizontal="center" vertical="center"/>
    </xf>
    <xf numFmtId="0" fontId="24" fillId="0" borderId="44" xfId="1" applyFont="1" applyBorder="1" applyAlignment="1">
      <alignment horizontal="center" vertical="center" wrapText="1"/>
    </xf>
    <xf numFmtId="0" fontId="22" fillId="24" borderId="71" xfId="1" applyFont="1" applyFill="1" applyBorder="1" applyAlignment="1">
      <alignment vertical="center"/>
    </xf>
    <xf numFmtId="0" fontId="23" fillId="0" borderId="21" xfId="1" applyFont="1" applyBorder="1"/>
    <xf numFmtId="0" fontId="24" fillId="0" borderId="21" xfId="1" applyFont="1" applyBorder="1"/>
    <xf numFmtId="0" fontId="23" fillId="0" borderId="28" xfId="1" applyFont="1" applyBorder="1" applyAlignment="1">
      <alignment horizontal="center"/>
    </xf>
    <xf numFmtId="0" fontId="23" fillId="0" borderId="21" xfId="1" applyFont="1" applyBorder="1" applyAlignment="1">
      <alignment horizontal="center"/>
    </xf>
    <xf numFmtId="0" fontId="24" fillId="0" borderId="21" xfId="1" applyFont="1" applyBorder="1" applyAlignment="1">
      <alignment horizontal="center"/>
    </xf>
    <xf numFmtId="0" fontId="23" fillId="24" borderId="71" xfId="1" applyFont="1" applyFill="1" applyBorder="1" applyAlignment="1">
      <alignment vertical="center" wrapText="1"/>
    </xf>
    <xf numFmtId="0" fontId="24" fillId="24" borderId="69" xfId="1" applyFont="1" applyFill="1" applyBorder="1" applyAlignment="1">
      <alignment horizontal="center" vertical="center" wrapText="1"/>
    </xf>
    <xf numFmtId="0" fontId="24" fillId="24" borderId="17" xfId="1" applyFont="1" applyFill="1" applyBorder="1" applyAlignment="1">
      <alignment horizontal="center" vertical="center" wrapText="1"/>
    </xf>
    <xf numFmtId="0" fontId="24" fillId="24" borderId="17" xfId="52" applyFont="1" applyFill="1" applyBorder="1" applyAlignment="1">
      <alignment horizontal="left" vertical="center" wrapText="1"/>
    </xf>
    <xf numFmtId="0" fontId="23" fillId="24" borderId="17" xfId="1" applyFont="1" applyFill="1" applyBorder="1" applyAlignment="1">
      <alignment vertical="center" wrapText="1"/>
    </xf>
    <xf numFmtId="0" fontId="24" fillId="0" borderId="14" xfId="52" applyFont="1" applyBorder="1" applyAlignment="1">
      <alignment horizontal="left" vertical="center" wrapText="1" indent="2"/>
    </xf>
    <xf numFmtId="0" fontId="24" fillId="0" borderId="13" xfId="52" applyFont="1" applyBorder="1" applyAlignment="1">
      <alignment horizontal="left" vertical="center" wrapText="1" indent="2"/>
    </xf>
    <xf numFmtId="0" fontId="24" fillId="0" borderId="13" xfId="52" applyFont="1" applyBorder="1" applyAlignment="1">
      <alignment horizontal="left" vertical="center" wrapText="1"/>
    </xf>
    <xf numFmtId="0" fontId="26" fillId="0" borderId="29" xfId="0" applyFont="1" applyBorder="1" applyAlignment="1">
      <alignment horizontal="center" wrapText="1"/>
    </xf>
    <xf numFmtId="0" fontId="22" fillId="24" borderId="81" xfId="1" applyFont="1" applyFill="1" applyBorder="1" applyAlignment="1">
      <alignment vertical="center"/>
    </xf>
    <xf numFmtId="0" fontId="22" fillId="24" borderId="23" xfId="1" applyFont="1" applyFill="1" applyBorder="1" applyAlignment="1">
      <alignment vertical="center"/>
    </xf>
    <xf numFmtId="0" fontId="23" fillId="0" borderId="34" xfId="1" applyFont="1" applyBorder="1"/>
    <xf numFmtId="0" fontId="23" fillId="0" borderId="58" xfId="1" applyFont="1" applyBorder="1" applyAlignment="1">
      <alignment horizontal="center" vertical="center"/>
    </xf>
    <xf numFmtId="0" fontId="23" fillId="24" borderId="17" xfId="53" applyFont="1" applyFill="1" applyBorder="1" applyAlignment="1">
      <alignment horizontal="center" vertical="center" shrinkToFit="1"/>
    </xf>
    <xf numFmtId="0" fontId="22" fillId="24" borderId="83" xfId="1" applyFont="1" applyFill="1" applyBorder="1" applyAlignment="1">
      <alignment vertical="center"/>
    </xf>
    <xf numFmtId="0" fontId="24" fillId="0" borderId="13" xfId="0" applyFont="1" applyBorder="1" applyAlignment="1">
      <alignment horizontal="left" vertical="center" wrapText="1"/>
    </xf>
    <xf numFmtId="0" fontId="23" fillId="25" borderId="12" xfId="1" applyFont="1" applyFill="1" applyBorder="1" applyAlignment="1">
      <alignment horizontal="center" vertical="center" wrapText="1"/>
    </xf>
    <xf numFmtId="0" fontId="23" fillId="25" borderId="42" xfId="1" applyFont="1" applyFill="1" applyBorder="1" applyAlignment="1">
      <alignment horizontal="center" vertical="center" wrapText="1"/>
    </xf>
    <xf numFmtId="0" fontId="23" fillId="25" borderId="43" xfId="1" applyFont="1" applyFill="1" applyBorder="1" applyAlignment="1">
      <alignment horizontal="center" vertical="center" textRotation="90" wrapText="1"/>
    </xf>
    <xf numFmtId="0" fontId="23" fillId="25" borderId="43" xfId="1" applyFont="1" applyFill="1" applyBorder="1" applyAlignment="1">
      <alignment horizontal="center" vertical="center" textRotation="90"/>
    </xf>
    <xf numFmtId="0" fontId="23" fillId="25" borderId="20" xfId="1" applyFont="1" applyFill="1" applyBorder="1" applyAlignment="1">
      <alignment horizontal="center" vertical="center" textRotation="90"/>
    </xf>
    <xf numFmtId="0" fontId="23" fillId="25" borderId="20" xfId="1" applyFont="1" applyFill="1" applyBorder="1" applyAlignment="1">
      <alignment horizontal="center" vertical="center" wrapText="1"/>
    </xf>
    <xf numFmtId="0" fontId="26" fillId="26" borderId="29" xfId="0" applyFont="1" applyFill="1" applyBorder="1" applyAlignment="1">
      <alignment horizontal="center" wrapText="1"/>
    </xf>
    <xf numFmtId="0" fontId="23" fillId="26" borderId="34" xfId="1" applyFont="1" applyFill="1" applyBorder="1"/>
    <xf numFmtId="0" fontId="27" fillId="26" borderId="56" xfId="1" applyFont="1" applyFill="1" applyBorder="1" applyAlignment="1">
      <alignment horizontal="center" vertical="center" wrapText="1"/>
    </xf>
    <xf numFmtId="0" fontId="27" fillId="26" borderId="57" xfId="1" applyFont="1" applyFill="1" applyBorder="1" applyAlignment="1">
      <alignment horizontal="center" vertical="center" wrapText="1"/>
    </xf>
    <xf numFmtId="0" fontId="23" fillId="26" borderId="58" xfId="1" applyFont="1" applyFill="1" applyBorder="1" applyAlignment="1">
      <alignment horizontal="center" vertical="center"/>
    </xf>
    <xf numFmtId="0" fontId="22" fillId="26" borderId="23" xfId="1" applyFont="1" applyFill="1" applyBorder="1" applyAlignment="1">
      <alignment vertical="center"/>
    </xf>
    <xf numFmtId="0" fontId="24" fillId="26" borderId="19" xfId="1" applyFont="1" applyFill="1" applyBorder="1" applyAlignment="1">
      <alignment horizontal="center" vertical="center"/>
    </xf>
    <xf numFmtId="0" fontId="24" fillId="26" borderId="14" xfId="1" applyFont="1" applyFill="1" applyBorder="1" applyAlignment="1">
      <alignment horizontal="center" vertical="center"/>
    </xf>
    <xf numFmtId="0" fontId="24" fillId="26" borderId="14" xfId="1" applyFont="1" applyFill="1" applyBorder="1" applyAlignment="1">
      <alignment horizontal="center" vertical="center" wrapText="1"/>
    </xf>
    <xf numFmtId="0" fontId="24" fillId="26" borderId="14" xfId="0" applyFont="1" applyFill="1" applyBorder="1" applyAlignment="1">
      <alignment horizontal="left" vertical="center" wrapText="1"/>
    </xf>
    <xf numFmtId="0" fontId="23" fillId="26" borderId="26" xfId="1" applyFont="1" applyFill="1" applyBorder="1" applyAlignment="1">
      <alignment horizontal="center"/>
    </xf>
    <xf numFmtId="0" fontId="24" fillId="26" borderId="26" xfId="1" applyFont="1" applyFill="1" applyBorder="1" applyAlignment="1">
      <alignment horizontal="center"/>
    </xf>
    <xf numFmtId="0" fontId="23" fillId="26" borderId="30" xfId="1" applyFont="1" applyFill="1" applyBorder="1" applyAlignment="1">
      <alignment horizontal="center"/>
    </xf>
    <xf numFmtId="0" fontId="23" fillId="26" borderId="17" xfId="1" applyFont="1" applyFill="1" applyBorder="1" applyAlignment="1">
      <alignment horizontal="left" vertical="center" wrapText="1"/>
    </xf>
    <xf numFmtId="0" fontId="23" fillId="26" borderId="21" xfId="1" applyFont="1" applyFill="1" applyBorder="1"/>
    <xf numFmtId="0" fontId="23" fillId="26" borderId="28" xfId="1" applyFont="1" applyFill="1" applyBorder="1" applyAlignment="1">
      <alignment horizontal="center"/>
    </xf>
    <xf numFmtId="0" fontId="24" fillId="26" borderId="21" xfId="1" applyFont="1" applyFill="1" applyBorder="1"/>
    <xf numFmtId="0" fontId="24" fillId="26" borderId="86" xfId="0" applyFont="1" applyFill="1" applyBorder="1" applyAlignment="1">
      <alignment horizontal="left" vertical="center" wrapText="1"/>
    </xf>
    <xf numFmtId="0" fontId="24" fillId="26" borderId="21" xfId="1" applyFont="1" applyFill="1" applyBorder="1" applyAlignment="1">
      <alignment horizontal="center"/>
    </xf>
    <xf numFmtId="0" fontId="24" fillId="24" borderId="17" xfId="1" applyFont="1" applyFill="1" applyBorder="1" applyAlignment="1">
      <alignment horizontal="center" vertical="center"/>
    </xf>
    <xf numFmtId="0" fontId="24" fillId="26" borderId="14" xfId="0" applyFont="1" applyFill="1" applyBorder="1" applyAlignment="1">
      <alignment horizontal="left" vertical="center" wrapText="1" indent="2"/>
    </xf>
    <xf numFmtId="0" fontId="23" fillId="26" borderId="83" xfId="1" applyFont="1" applyFill="1" applyBorder="1" applyAlignment="1">
      <alignment horizontal="left" vertical="center" wrapText="1"/>
    </xf>
    <xf numFmtId="0" fontId="23" fillId="26" borderId="21" xfId="1" applyFont="1" applyFill="1" applyBorder="1" applyAlignment="1">
      <alignment horizontal="center"/>
    </xf>
    <xf numFmtId="0" fontId="24" fillId="26" borderId="15" xfId="0" applyFont="1" applyFill="1" applyBorder="1" applyAlignment="1">
      <alignment horizontal="left" vertical="center" wrapText="1" indent="2"/>
    </xf>
    <xf numFmtId="0" fontId="23" fillId="26" borderId="26" xfId="1" applyFont="1" applyFill="1" applyBorder="1"/>
    <xf numFmtId="0" fontId="24" fillId="26" borderId="15" xfId="0" applyFont="1" applyFill="1" applyBorder="1" applyAlignment="1">
      <alignment vertical="center" wrapText="1"/>
    </xf>
    <xf numFmtId="0" fontId="23" fillId="26" borderId="64" xfId="1" applyFont="1" applyFill="1" applyBorder="1" applyAlignment="1">
      <alignment horizontal="left" vertical="center" wrapText="1"/>
    </xf>
    <xf numFmtId="0" fontId="24" fillId="26" borderId="15" xfId="0" applyFont="1" applyFill="1" applyBorder="1" applyAlignment="1">
      <alignment horizontal="left" vertical="center" wrapText="1"/>
    </xf>
    <xf numFmtId="0" fontId="24" fillId="26" borderId="24" xfId="1" applyFont="1" applyFill="1" applyBorder="1" applyAlignment="1">
      <alignment horizontal="center" vertical="center"/>
    </xf>
    <xf numFmtId="0" fontId="24" fillId="26" borderId="44" xfId="1" applyFont="1" applyFill="1" applyBorder="1" applyAlignment="1">
      <alignment horizontal="center" vertical="center"/>
    </xf>
    <xf numFmtId="0" fontId="24" fillId="26" borderId="14" xfId="52" applyFont="1" applyFill="1" applyBorder="1" applyAlignment="1">
      <alignment horizontal="left" vertical="center" wrapText="1"/>
    </xf>
    <xf numFmtId="0" fontId="24" fillId="26" borderId="13" xfId="52" applyFont="1" applyFill="1" applyBorder="1" applyAlignment="1">
      <alignment horizontal="left" vertical="center" wrapText="1"/>
    </xf>
    <xf numFmtId="0" fontId="24" fillId="26" borderId="16" xfId="52" applyFont="1" applyFill="1" applyBorder="1" applyAlignment="1">
      <alignment horizontal="left" vertical="center" wrapText="1"/>
    </xf>
    <xf numFmtId="0" fontId="24" fillId="26" borderId="17" xfId="52" applyFont="1" applyFill="1" applyBorder="1" applyAlignment="1">
      <alignment horizontal="left" vertical="center" wrapText="1"/>
    </xf>
    <xf numFmtId="0" fontId="24" fillId="26" borderId="14" xfId="52" applyFont="1" applyFill="1" applyBorder="1" applyAlignment="1">
      <alignment horizontal="left" vertical="center" wrapText="1" indent="2"/>
    </xf>
    <xf numFmtId="0" fontId="24" fillId="26" borderId="13" xfId="52" applyFont="1" applyFill="1" applyBorder="1" applyAlignment="1">
      <alignment horizontal="left" vertical="center" wrapText="1" indent="2"/>
    </xf>
    <xf numFmtId="0" fontId="24" fillId="24" borderId="16" xfId="1" applyFont="1" applyFill="1" applyBorder="1" applyAlignment="1">
      <alignment horizontal="center" vertical="center"/>
    </xf>
    <xf numFmtId="0" fontId="24" fillId="24" borderId="17" xfId="52" applyFont="1" applyFill="1" applyBorder="1" applyAlignment="1">
      <alignment vertical="center" wrapText="1"/>
    </xf>
    <xf numFmtId="0" fontId="24" fillId="26" borderId="14" xfId="52" applyFont="1" applyFill="1" applyBorder="1" applyAlignment="1">
      <alignment vertical="center" wrapText="1"/>
    </xf>
    <xf numFmtId="0" fontId="24" fillId="26" borderId="13" xfId="52" applyFont="1" applyFill="1" applyBorder="1" applyAlignment="1">
      <alignment vertical="center" wrapText="1"/>
    </xf>
    <xf numFmtId="0" fontId="24" fillId="26" borderId="94" xfId="1" applyFont="1" applyFill="1" applyBorder="1" applyAlignment="1">
      <alignment horizontal="center" vertical="center"/>
    </xf>
    <xf numFmtId="0" fontId="24" fillId="26" borderId="75" xfId="1" applyFont="1" applyFill="1" applyBorder="1" applyAlignment="1">
      <alignment horizontal="center" vertical="center"/>
    </xf>
    <xf numFmtId="0" fontId="24" fillId="26" borderId="76" xfId="52" applyFont="1" applyFill="1" applyBorder="1" applyAlignment="1">
      <alignment vertical="center" wrapText="1"/>
    </xf>
    <xf numFmtId="0" fontId="24" fillId="0" borderId="19" xfId="1" applyFont="1" applyBorder="1" applyAlignment="1">
      <alignment horizontal="center" vertical="center"/>
    </xf>
    <xf numFmtId="0" fontId="24" fillId="0" borderId="15" xfId="52" applyFont="1" applyBorder="1" applyAlignment="1">
      <alignment vertical="center" wrapText="1"/>
    </xf>
    <xf numFmtId="0" fontId="24" fillId="0" borderId="13" xfId="52" applyFont="1" applyBorder="1" applyAlignment="1">
      <alignment wrapText="1"/>
    </xf>
    <xf numFmtId="0" fontId="22" fillId="24" borderId="10" xfId="1" applyFont="1" applyFill="1" applyBorder="1" applyAlignment="1">
      <alignment vertical="center"/>
    </xf>
    <xf numFmtId="0" fontId="24" fillId="0" borderId="14" xfId="53" applyFont="1" applyBorder="1" applyAlignment="1">
      <alignment vertical="center" wrapText="1"/>
    </xf>
    <xf numFmtId="0" fontId="24" fillId="0" borderId="13" xfId="53" applyFont="1" applyBorder="1" applyAlignment="1">
      <alignment vertical="center" wrapText="1"/>
    </xf>
    <xf numFmtId="0" fontId="24" fillId="0" borderId="13" xfId="53" applyFont="1" applyBorder="1" applyAlignment="1">
      <alignment horizontal="left" vertical="center" wrapText="1"/>
    </xf>
    <xf numFmtId="49" fontId="24" fillId="0" borderId="13" xfId="52" applyNumberFormat="1" applyFont="1" applyBorder="1" applyAlignment="1">
      <alignment horizontal="left" vertical="center" wrapText="1"/>
    </xf>
    <xf numFmtId="0" fontId="24" fillId="0" borderId="14" xfId="52" applyFont="1" applyBorder="1" applyAlignment="1">
      <alignment horizontal="left" vertical="center" wrapText="1"/>
    </xf>
    <xf numFmtId="0" fontId="24" fillId="0" borderId="13" xfId="53" applyFont="1" applyBorder="1" applyAlignment="1">
      <alignment horizontal="left" vertical="center" wrapText="1" indent="2"/>
    </xf>
    <xf numFmtId="0" fontId="24" fillId="0" borderId="24" xfId="1" applyFont="1" applyBorder="1" applyAlignment="1">
      <alignment horizontal="center" vertical="center"/>
    </xf>
    <xf numFmtId="0" fontId="24" fillId="0" borderId="15" xfId="53" applyFont="1" applyBorder="1" applyAlignment="1">
      <alignment horizontal="left" vertical="center" wrapText="1"/>
    </xf>
    <xf numFmtId="0" fontId="23" fillId="24" borderId="15" xfId="53" applyFont="1" applyFill="1" applyBorder="1" applyAlignment="1" applyProtection="1">
      <alignment horizontal="center" vertical="center" shrinkToFit="1"/>
      <protection locked="0"/>
    </xf>
    <xf numFmtId="0" fontId="26" fillId="0" borderId="27" xfId="0" applyFont="1" applyBorder="1" applyAlignment="1" applyProtection="1">
      <alignment horizontal="center" wrapText="1"/>
      <protection locked="0"/>
    </xf>
    <xf numFmtId="0" fontId="23" fillId="0" borderId="22" xfId="1" applyFont="1" applyBorder="1" applyProtection="1">
      <protection locked="0"/>
    </xf>
    <xf numFmtId="0" fontId="23" fillId="0" borderId="26" xfId="1" applyFont="1" applyBorder="1" applyAlignment="1" applyProtection="1">
      <alignment horizontal="center"/>
      <protection locked="0"/>
    </xf>
    <xf numFmtId="0" fontId="24" fillId="0" borderId="26" xfId="1" applyFont="1" applyBorder="1" applyAlignment="1" applyProtection="1">
      <alignment horizontal="center"/>
      <protection locked="0"/>
    </xf>
    <xf numFmtId="0" fontId="23" fillId="0" borderId="30" xfId="1" applyFont="1" applyBorder="1" applyAlignment="1" applyProtection="1">
      <alignment horizontal="center"/>
      <protection locked="0"/>
    </xf>
    <xf numFmtId="0" fontId="23" fillId="24" borderId="13" xfId="53" applyFont="1" applyFill="1" applyBorder="1" applyAlignment="1" applyProtection="1">
      <alignment horizontal="center" vertical="center" shrinkToFit="1"/>
      <protection locked="0"/>
    </xf>
    <xf numFmtId="0" fontId="26" fillId="0" borderId="33" xfId="0" applyFont="1" applyBorder="1" applyAlignment="1" applyProtection="1">
      <alignment horizontal="center" wrapText="1"/>
      <protection locked="0"/>
    </xf>
    <xf numFmtId="0" fontId="23" fillId="0" borderId="25" xfId="1" applyFont="1" applyBorder="1" applyProtection="1">
      <protection locked="0"/>
    </xf>
    <xf numFmtId="0" fontId="23" fillId="0" borderId="31" xfId="1" applyFont="1" applyBorder="1" applyAlignment="1" applyProtection="1">
      <alignment horizontal="center"/>
      <protection locked="0"/>
    </xf>
    <xf numFmtId="0" fontId="24" fillId="0" borderId="31" xfId="1" applyFont="1" applyBorder="1" applyAlignment="1" applyProtection="1">
      <alignment horizontal="center"/>
      <protection locked="0"/>
    </xf>
    <xf numFmtId="0" fontId="23" fillId="0" borderId="32" xfId="1" applyFont="1" applyBorder="1" applyAlignment="1" applyProtection="1">
      <alignment horizontal="center"/>
      <protection locked="0"/>
    </xf>
    <xf numFmtId="0" fontId="23" fillId="0" borderId="21" xfId="1" applyFont="1" applyBorder="1" applyProtection="1">
      <protection locked="0"/>
    </xf>
    <xf numFmtId="0" fontId="24" fillId="0" borderId="21" xfId="1" applyFont="1" applyBorder="1" applyProtection="1">
      <protection locked="0"/>
    </xf>
    <xf numFmtId="0" fontId="23" fillId="0" borderId="28" xfId="1" applyFont="1" applyBorder="1" applyAlignment="1" applyProtection="1">
      <alignment horizontal="center"/>
      <protection locked="0"/>
    </xf>
    <xf numFmtId="0" fontId="23" fillId="0" borderId="92" xfId="1" applyFont="1" applyBorder="1" applyAlignment="1" applyProtection="1">
      <alignment horizontal="center"/>
      <protection locked="0"/>
    </xf>
    <xf numFmtId="0" fontId="24" fillId="0" borderId="92" xfId="1" applyFont="1" applyBorder="1" applyAlignment="1" applyProtection="1">
      <alignment horizontal="center"/>
      <protection locked="0"/>
    </xf>
    <xf numFmtId="0" fontId="23" fillId="0" borderId="93" xfId="1" applyFont="1" applyBorder="1" applyAlignment="1" applyProtection="1">
      <alignment horizontal="center"/>
      <protection locked="0"/>
    </xf>
    <xf numFmtId="0" fontId="23" fillId="0" borderId="21" xfId="1" applyFont="1" applyBorder="1" applyAlignment="1" applyProtection="1">
      <alignment horizontal="center"/>
      <protection locked="0"/>
    </xf>
    <xf numFmtId="0" fontId="24" fillId="0" borderId="21" xfId="1" applyFont="1" applyBorder="1" applyAlignment="1" applyProtection="1">
      <alignment horizontal="center"/>
      <protection locked="0"/>
    </xf>
    <xf numFmtId="0" fontId="23" fillId="0" borderId="25" xfId="1" applyFont="1" applyBorder="1" applyAlignment="1" applyProtection="1">
      <alignment horizontal="center"/>
      <protection locked="0"/>
    </xf>
    <xf numFmtId="0" fontId="24" fillId="0" borderId="25" xfId="1" applyFont="1" applyBorder="1" applyAlignment="1" applyProtection="1">
      <alignment horizontal="center"/>
      <protection locked="0"/>
    </xf>
    <xf numFmtId="0" fontId="26" fillId="0" borderId="29" xfId="0" applyFont="1" applyBorder="1" applyAlignment="1" applyProtection="1">
      <alignment horizontal="center" wrapText="1"/>
      <protection locked="0"/>
    </xf>
    <xf numFmtId="0" fontId="23" fillId="0" borderId="26" xfId="1" applyFont="1" applyBorder="1" applyProtection="1">
      <protection locked="0"/>
    </xf>
    <xf numFmtId="0" fontId="26" fillId="0" borderId="91" xfId="0" applyFont="1" applyBorder="1" applyAlignment="1" applyProtection="1">
      <alignment horizontal="center" wrapText="1"/>
      <protection locked="0"/>
    </xf>
    <xf numFmtId="0" fontId="24" fillId="0" borderId="92" xfId="1" applyFont="1" applyBorder="1" applyProtection="1">
      <protection locked="0"/>
    </xf>
    <xf numFmtId="0" fontId="26" fillId="0" borderId="95" xfId="0" applyFont="1" applyBorder="1" applyAlignment="1" applyProtection="1">
      <alignment horizontal="center" wrapText="1"/>
      <protection locked="0"/>
    </xf>
    <xf numFmtId="0" fontId="24" fillId="0" borderId="96" xfId="1" applyFont="1" applyBorder="1" applyProtection="1">
      <protection locked="0"/>
    </xf>
    <xf numFmtId="0" fontId="23" fillId="0" borderId="97" xfId="1" applyFont="1" applyBorder="1" applyAlignment="1" applyProtection="1">
      <alignment horizontal="center"/>
      <protection locked="0"/>
    </xf>
    <xf numFmtId="0" fontId="24" fillId="0" borderId="97" xfId="1" applyFont="1" applyBorder="1" applyAlignment="1" applyProtection="1">
      <alignment horizontal="center"/>
      <protection locked="0"/>
    </xf>
    <xf numFmtId="0" fontId="23" fillId="0" borderId="98" xfId="1" applyFont="1" applyBorder="1" applyAlignment="1" applyProtection="1">
      <alignment horizontal="center"/>
      <protection locked="0"/>
    </xf>
    <xf numFmtId="0" fontId="26" fillId="26" borderId="27" xfId="0" applyFont="1" applyFill="1" applyBorder="1" applyAlignment="1" applyProtection="1">
      <alignment horizontal="center" wrapText="1"/>
      <protection locked="0"/>
    </xf>
    <xf numFmtId="0" fontId="23" fillId="26" borderId="22" xfId="1" applyFont="1" applyFill="1" applyBorder="1" applyProtection="1">
      <protection locked="0"/>
    </xf>
    <xf numFmtId="0" fontId="23" fillId="26" borderId="26" xfId="1" applyFont="1" applyFill="1" applyBorder="1" applyAlignment="1" applyProtection="1">
      <alignment horizontal="center"/>
      <protection locked="0"/>
    </xf>
    <xf numFmtId="0" fontId="24" fillId="26" borderId="26" xfId="1" applyFont="1" applyFill="1" applyBorder="1" applyAlignment="1" applyProtection="1">
      <alignment horizontal="center"/>
      <protection locked="0"/>
    </xf>
    <xf numFmtId="0" fontId="23" fillId="26" borderId="30" xfId="1" applyFont="1" applyFill="1" applyBorder="1" applyAlignment="1" applyProtection="1">
      <alignment horizontal="center"/>
      <protection locked="0"/>
    </xf>
    <xf numFmtId="0" fontId="23" fillId="26" borderId="21" xfId="1" applyFont="1" applyFill="1" applyBorder="1" applyProtection="1">
      <protection locked="0"/>
    </xf>
    <xf numFmtId="0" fontId="23" fillId="26" borderId="28" xfId="1" applyFont="1" applyFill="1" applyBorder="1" applyAlignment="1" applyProtection="1">
      <alignment horizontal="center"/>
      <protection locked="0"/>
    </xf>
    <xf numFmtId="0" fontId="24" fillId="26" borderId="21" xfId="1" applyFont="1" applyFill="1" applyBorder="1" applyProtection="1">
      <protection locked="0"/>
    </xf>
    <xf numFmtId="0" fontId="26" fillId="26" borderId="33" xfId="0" applyFont="1" applyFill="1" applyBorder="1" applyAlignment="1" applyProtection="1">
      <alignment horizontal="center" wrapText="1"/>
      <protection locked="0"/>
    </xf>
    <xf numFmtId="0" fontId="24" fillId="26" borderId="25" xfId="1" applyFont="1" applyFill="1" applyBorder="1" applyProtection="1">
      <protection locked="0"/>
    </xf>
    <xf numFmtId="0" fontId="24" fillId="26" borderId="21" xfId="1" applyFont="1" applyFill="1" applyBorder="1" applyAlignment="1" applyProtection="1">
      <alignment horizontal="center"/>
      <protection locked="0"/>
    </xf>
    <xf numFmtId="0" fontId="23" fillId="26" borderId="32" xfId="1" applyFont="1" applyFill="1" applyBorder="1" applyAlignment="1" applyProtection="1">
      <alignment horizontal="center"/>
      <protection locked="0"/>
    </xf>
    <xf numFmtId="0" fontId="26" fillId="26" borderId="91" xfId="0" applyFont="1" applyFill="1" applyBorder="1" applyAlignment="1" applyProtection="1">
      <alignment horizontal="center" wrapText="1"/>
      <protection locked="0"/>
    </xf>
    <xf numFmtId="0" fontId="24" fillId="26" borderId="92" xfId="1" applyFont="1" applyFill="1" applyBorder="1" applyProtection="1">
      <protection locked="0"/>
    </xf>
    <xf numFmtId="0" fontId="23" fillId="26" borderId="92" xfId="1" applyFont="1" applyFill="1" applyBorder="1" applyAlignment="1" applyProtection="1">
      <alignment horizontal="center"/>
      <protection locked="0"/>
    </xf>
    <xf numFmtId="0" fontId="24" fillId="26" borderId="92" xfId="1" applyFont="1" applyFill="1" applyBorder="1" applyAlignment="1" applyProtection="1">
      <alignment horizontal="center"/>
      <protection locked="0"/>
    </xf>
    <xf numFmtId="0" fontId="23" fillId="26" borderId="93" xfId="1" applyFont="1" applyFill="1" applyBorder="1" applyAlignment="1" applyProtection="1">
      <alignment horizontal="center"/>
      <protection locked="0"/>
    </xf>
    <xf numFmtId="0" fontId="26" fillId="26" borderId="62" xfId="0" applyFont="1" applyFill="1" applyBorder="1" applyAlignment="1" applyProtection="1">
      <alignment horizontal="center" wrapText="1"/>
      <protection locked="0"/>
    </xf>
    <xf numFmtId="0" fontId="24" fillId="26" borderId="31" xfId="1" applyFont="1" applyFill="1" applyBorder="1" applyProtection="1">
      <protection locked="0"/>
    </xf>
    <xf numFmtId="0" fontId="23" fillId="26" borderId="31" xfId="1" applyFont="1" applyFill="1" applyBorder="1" applyAlignment="1" applyProtection="1">
      <alignment horizontal="center"/>
      <protection locked="0"/>
    </xf>
    <xf numFmtId="0" fontId="24" fillId="26" borderId="31" xfId="1" applyFont="1" applyFill="1" applyBorder="1" applyAlignment="1" applyProtection="1">
      <alignment horizontal="center"/>
      <protection locked="0"/>
    </xf>
    <xf numFmtId="0" fontId="23" fillId="26" borderId="90" xfId="1" applyFont="1" applyFill="1" applyBorder="1" applyAlignment="1" applyProtection="1">
      <alignment horizontal="center"/>
      <protection locked="0"/>
    </xf>
    <xf numFmtId="0" fontId="23" fillId="26" borderId="21" xfId="1" applyFont="1" applyFill="1" applyBorder="1" applyAlignment="1" applyProtection="1">
      <alignment horizontal="center"/>
      <protection locked="0"/>
    </xf>
    <xf numFmtId="0" fontId="23" fillId="26" borderId="25" xfId="1" applyFont="1" applyFill="1" applyBorder="1" applyProtection="1">
      <protection locked="0"/>
    </xf>
    <xf numFmtId="0" fontId="23" fillId="26" borderId="25" xfId="1" applyFont="1" applyFill="1" applyBorder="1" applyAlignment="1" applyProtection="1">
      <alignment horizontal="center"/>
      <protection locked="0"/>
    </xf>
    <xf numFmtId="0" fontId="24" fillId="26" borderId="25" xfId="1" applyFont="1" applyFill="1" applyBorder="1" applyAlignment="1" applyProtection="1">
      <alignment horizontal="center"/>
      <protection locked="0"/>
    </xf>
    <xf numFmtId="0" fontId="26" fillId="26" borderId="29" xfId="0" applyFont="1" applyFill="1" applyBorder="1" applyAlignment="1" applyProtection="1">
      <alignment horizontal="center" wrapText="1"/>
      <protection locked="0"/>
    </xf>
    <xf numFmtId="0" fontId="24" fillId="26" borderId="26" xfId="1" applyFont="1" applyFill="1" applyBorder="1" applyProtection="1">
      <protection locked="0"/>
    </xf>
    <xf numFmtId="0" fontId="23" fillId="26" borderId="26" xfId="1" applyFont="1" applyFill="1" applyBorder="1" applyProtection="1">
      <protection locked="0"/>
    </xf>
    <xf numFmtId="0" fontId="23" fillId="24" borderId="76" xfId="53" applyFont="1" applyFill="1" applyBorder="1" applyAlignment="1" applyProtection="1">
      <alignment horizontal="center" vertical="center" shrinkToFit="1"/>
      <protection locked="0"/>
    </xf>
    <xf numFmtId="0" fontId="26" fillId="26" borderId="77" xfId="0" applyFont="1" applyFill="1" applyBorder="1" applyAlignment="1" applyProtection="1">
      <alignment horizontal="center" wrapText="1"/>
      <protection locked="0"/>
    </xf>
    <xf numFmtId="0" fontId="23" fillId="26" borderId="78" xfId="1" applyFont="1" applyFill="1" applyBorder="1" applyProtection="1">
      <protection locked="0"/>
    </xf>
    <xf numFmtId="0" fontId="23" fillId="26" borderId="78" xfId="1" applyFont="1" applyFill="1" applyBorder="1" applyAlignment="1" applyProtection="1">
      <alignment horizontal="center"/>
      <protection locked="0"/>
    </xf>
    <xf numFmtId="0" fontId="24" fillId="26" borderId="78" xfId="1" applyFont="1" applyFill="1" applyBorder="1" applyAlignment="1" applyProtection="1">
      <alignment horizontal="center"/>
      <protection locked="0"/>
    </xf>
    <xf numFmtId="0" fontId="23" fillId="26" borderId="79" xfId="1" applyFont="1" applyFill="1" applyBorder="1" applyAlignment="1" applyProtection="1">
      <alignment horizontal="center"/>
      <protection locked="0"/>
    </xf>
    <xf numFmtId="0" fontId="24" fillId="0" borderId="25" xfId="1" applyFont="1" applyBorder="1" applyProtection="1">
      <protection locked="0"/>
    </xf>
    <xf numFmtId="0" fontId="24" fillId="0" borderId="26" xfId="1" applyFont="1" applyBorder="1" applyProtection="1">
      <protection locked="0"/>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12" xfId="0" applyBorder="1" applyAlignment="1">
      <alignment horizontal="center" vertical="center"/>
    </xf>
    <xf numFmtId="0" fontId="35" fillId="25" borderId="39" xfId="1" applyFont="1" applyFill="1" applyBorder="1" applyAlignment="1">
      <alignment horizontal="center" vertical="center" wrapText="1"/>
    </xf>
    <xf numFmtId="0" fontId="35" fillId="25" borderId="40" xfId="1" applyFont="1" applyFill="1" applyBorder="1" applyAlignment="1">
      <alignment horizontal="center" vertical="center" wrapText="1"/>
    </xf>
    <xf numFmtId="0" fontId="35" fillId="25" borderId="41" xfId="1" applyFont="1" applyFill="1" applyBorder="1" applyAlignment="1">
      <alignment horizontal="center" vertical="center" wrapText="1"/>
    </xf>
    <xf numFmtId="0" fontId="0" fillId="0" borderId="89" xfId="0" applyBorder="1" applyAlignment="1">
      <alignment horizontal="center"/>
    </xf>
  </cellXfs>
  <cellStyles count="5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alculation 3" xfId="50"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3000000}"/>
    <cellStyle name="Input 3" xfId="51" xr:uid="{00000000-0005-0000-0000-000024000000}"/>
    <cellStyle name="Linked Cell 2" xfId="36" xr:uid="{00000000-0005-0000-0000-000025000000}"/>
    <cellStyle name="Neutral 2" xfId="37" xr:uid="{00000000-0005-0000-0000-000026000000}"/>
    <cellStyle name="Normal" xfId="0" builtinId="0"/>
    <cellStyle name="Normal 2" xfId="38" xr:uid="{00000000-0005-0000-0000-000028000000}"/>
    <cellStyle name="Normal 3" xfId="39" xr:uid="{00000000-0005-0000-0000-000029000000}"/>
    <cellStyle name="Normal 3 2" xfId="53" xr:uid="{00000000-0005-0000-0000-00002A000000}"/>
    <cellStyle name="Normal 3 64" xfId="54" xr:uid="{00000000-0005-0000-0000-00002B000000}"/>
    <cellStyle name="Normal 3 64 2" xfId="56" xr:uid="{00000000-0005-0000-0000-00002C000000}"/>
    <cellStyle name="Normal 4" xfId="1" xr:uid="{00000000-0005-0000-0000-00002D000000}"/>
    <cellStyle name="Normal 5" xfId="52" xr:uid="{00000000-0005-0000-0000-00002E000000}"/>
    <cellStyle name="Normal 83 2" xfId="55" xr:uid="{00000000-0005-0000-0000-00002F000000}"/>
    <cellStyle name="Note 2" xfId="45" xr:uid="{00000000-0005-0000-0000-000030000000}"/>
    <cellStyle name="Note 2 2" xfId="49" xr:uid="{00000000-0005-0000-0000-000031000000}"/>
    <cellStyle name="Note 3" xfId="40" xr:uid="{00000000-0005-0000-0000-000032000000}"/>
    <cellStyle name="Note 4" xfId="46" xr:uid="{00000000-0005-0000-0000-000033000000}"/>
    <cellStyle name="Output 2" xfId="41" xr:uid="{00000000-0005-0000-0000-000034000000}"/>
    <cellStyle name="Output 3" xfId="47" xr:uid="{00000000-0005-0000-0000-000035000000}"/>
    <cellStyle name="Title 2" xfId="42" xr:uid="{00000000-0005-0000-0000-000036000000}"/>
    <cellStyle name="Total 2" xfId="43" xr:uid="{00000000-0005-0000-0000-000037000000}"/>
    <cellStyle name="Total 3" xfId="48" xr:uid="{00000000-0005-0000-0000-000038000000}"/>
    <cellStyle name="Warning Text 2" xfId="44" xr:uid="{00000000-0005-0000-0000-000039000000}"/>
  </cellStyles>
  <dxfs count="245">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9F9F"/>
        </patternFill>
      </fill>
      <border>
        <left style="thin">
          <color auto="1"/>
        </left>
        <right style="thin">
          <color auto="1"/>
        </right>
        <top style="thin">
          <color auto="1"/>
        </top>
        <bottom style="thin">
          <color auto="1"/>
        </bottom>
      </border>
    </dxf>
    <dxf>
      <fill>
        <patternFill>
          <bgColor rgb="FFFFFFC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FFC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FFC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medium">
          <color auto="1"/>
        </left>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protection locked="1" hidden="0"/>
    </dxf>
    <dxf>
      <border outline="0">
        <top style="medium">
          <color rgb="FF000000"/>
        </top>
        <bottom style="thin">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border diagonalUp="0" diagonalDown="0">
        <left style="medium">
          <color auto="1"/>
        </left>
        <right style="medium">
          <color auto="1"/>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family val="2"/>
        <scheme val="none"/>
      </font>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7"/>
        <color theme="1"/>
        <name val="Calibri"/>
        <family val="2"/>
        <scheme val="minor"/>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outline="0">
        <left style="medium">
          <color indexed="64"/>
        </left>
        <right style="medium">
          <color indexed="64"/>
        </right>
        <top style="medium">
          <color indexed="64"/>
        </top>
      </border>
    </dxf>
    <dxf>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border diagonalUp="0" diagonalDown="0">
        <left/>
        <right/>
        <top/>
        <bottom style="thin">
          <color indexed="64"/>
        </bottom>
        <vertical/>
        <horizontal/>
      </border>
      <protection locked="1" hidden="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family val="2"/>
        <scheme val="none"/>
      </font>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7"/>
        <color theme="1"/>
        <name val="Calibri"/>
        <family val="2"/>
        <scheme val="minor"/>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style="medium">
          <color indexed="64"/>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center" vertical="bottom" textRotation="0" wrapText="0" indent="0" justifyLastLine="0" shrinkToFit="0" readingOrder="0"/>
      <border diagonalUp="0" diagonalDown="0">
        <left/>
        <right/>
        <top style="medium">
          <color auto="1"/>
        </top>
        <bottom style="medium">
          <color auto="1"/>
        </bottom>
        <vertical/>
        <horizontal style="medium">
          <color auto="1"/>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style="medium">
          <color indexed="64"/>
        </left>
        <right/>
        <top/>
        <bottom style="medium">
          <color indexed="64"/>
        </bottom>
      </border>
      <protection locked="1" hidden="0"/>
    </dxf>
    <dxf>
      <border outline="0">
        <top style="medium">
          <color indexed="64"/>
        </top>
        <bottom style="thin">
          <color indexed="64"/>
        </bottom>
      </border>
    </dxf>
    <dxf>
      <alignment horizontal="right" vertical="bottom" textRotation="0" wrapText="0" indent="0" justifyLastLine="0" shrinkToFit="0" readingOrder="0"/>
    </dxf>
    <dxf>
      <border outline="0">
        <bottom style="medium">
          <color indexed="64"/>
        </bottom>
      </border>
    </dxf>
    <dxf>
      <font>
        <b/>
        <i val="0"/>
        <strike val="0"/>
        <condense val="0"/>
        <extend val="0"/>
        <outline val="0"/>
        <shadow val="0"/>
        <u/>
        <vertAlign val="baseline"/>
        <sz val="16"/>
        <color theme="0"/>
        <name val="Arial"/>
        <scheme val="none"/>
      </font>
      <fill>
        <patternFill patternType="solid">
          <fgColor indexed="64"/>
          <bgColor rgb="FFA34D4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medium">
          <color auto="1"/>
        </left>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protection locked="1" hidden="0"/>
    </dxf>
    <dxf>
      <border outline="0">
        <top style="medium">
          <color rgb="FF000000"/>
        </top>
        <bottom style="thin">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border diagonalUp="0" diagonalDown="0">
        <left style="medium">
          <color auto="1"/>
        </left>
        <right style="medium">
          <color auto="1"/>
        </right>
        <top/>
        <bottom/>
      </border>
      <protection locked="1" hidden="0"/>
    </dxf>
    <dxf>
      <fill>
        <patternFill>
          <bgColor theme="1"/>
        </patternFill>
      </fill>
    </dxf>
  </dxfs>
  <tableStyles count="1" defaultTableStyle="TableStyleMedium2" defaultPivotStyle="PivotStyleLight16">
    <tableStyle name="Table Style 1" pivot="0" count="1" xr9:uid="{00000000-0011-0000-FFFF-FFFF00000000}">
      <tableStyleElement type="firstColumnStripe" dxfId="244"/>
    </tableStyle>
  </tableStyles>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B3:I62" headerRowCount="0" totalsRowShown="0" headerRowDxfId="229" dataDxfId="227" headerRowBorderDxfId="228" tableBorderDxfId="226" headerRowCellStyle="Normal 4">
  <tableColumns count="8">
    <tableColumn id="1" xr3:uid="{00000000-0010-0000-0000-000001000000}" name="Proposal Evaluation Summary" headerRowDxfId="225" dataDxfId="224"/>
    <tableColumn id="2" xr3:uid="{00000000-0010-0000-0000-000002000000}" name="Column1" headerRowDxfId="223" dataDxfId="222"/>
    <tableColumn id="3" xr3:uid="{00000000-0010-0000-0000-000003000000}" name="Column2" headerRowDxfId="221" dataDxfId="220"/>
    <tableColumn id="4" xr3:uid="{00000000-0010-0000-0000-000004000000}" name="Column3" headerRowDxfId="219" dataDxfId="218"/>
    <tableColumn id="5" xr3:uid="{00000000-0010-0000-0000-000005000000}" name="Column4" headerRowDxfId="217" dataDxfId="216"/>
    <tableColumn id="6" xr3:uid="{00000000-0010-0000-0000-000006000000}" name="Column5" headerRowDxfId="215" dataDxfId="214"/>
    <tableColumn id="7" xr3:uid="{00000000-0010-0000-0000-000007000000}" name="Column6" headerRowDxfId="213" dataDxfId="212"/>
    <tableColumn id="8" xr3:uid="{00000000-0010-0000-0000-000008000000}" name="Column7" headerRowDxfId="211" dataDxfId="21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21" displayName="Table121" ref="B2:L203" totalsRowShown="0" headerRowDxfId="243" dataDxfId="242" tableBorderDxfId="241" headerRowCellStyle="Normal 4">
  <autoFilter ref="B2:L203" xr:uid="{00000000-0009-0000-0100-000014000000}"/>
  <tableColumns count="11">
    <tableColumn id="1" xr3:uid="{00000000-0010-0000-0100-000001000000}" name="Spec_x000a_ID" dataDxfId="240" dataCellStyle="Normal 4"/>
    <tableColumn id="2" xr3:uid="{00000000-0010-0000-0100-000002000000}" name="Spec Number" dataDxfId="239" dataCellStyle="Normal 4"/>
    <tableColumn id="3" xr3:uid="{00000000-0010-0000-0100-000003000000}" name="Importance" dataDxfId="238" dataCellStyle="Normal 4"/>
    <tableColumn id="4" xr3:uid="{00000000-0010-0000-0100-000004000000}" name="Description of Capability_x000a__x000a_Mobile Data General Requirements" dataDxfId="237" dataCellStyle="Normal 3"/>
    <tableColumn id="5" xr3:uid="{00000000-0010-0000-0100-000005000000}" name="Availability" dataDxfId="236" dataCellStyle="Normal 3"/>
    <tableColumn id="6" xr3:uid="{00000000-0010-0000-0100-000006000000}" name="Descriptions" dataDxfId="235"/>
    <tableColumn id="7" xr3:uid="{00000000-0010-0000-0100-000007000000}" name="Summary" dataDxfId="234"/>
    <tableColumn id="8" xr3:uid="{00000000-0010-0000-0100-000008000000}" name="Spec Weight" dataDxfId="233">
      <calculatedColumnFormula>VLOOKUP($D3,SpecData,2,FALSE)</calculatedColumnFormula>
    </tableColumn>
    <tableColumn id="9" xr3:uid="{00000000-0010-0000-0100-000009000000}" name="Avail Weight" dataDxfId="232">
      <calculatedColumnFormula>VLOOKUP($F3,AvailabilityData,2,FALSE)</calculatedColumnFormula>
    </tableColumn>
    <tableColumn id="10" xr3:uid="{00000000-0010-0000-0100-00000A000000}" name="Score" dataDxfId="231">
      <calculatedColumnFormula>I3*J3</calculatedColumnFormula>
    </tableColumn>
    <tableColumn id="11" xr3:uid="{00000000-0010-0000-0100-00000B000000}" name="Review Comments" dataDxfId="23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e122" displayName="Table122" ref="B2:L20" totalsRowShown="0" headerRowDxfId="209" dataDxfId="208" tableBorderDxfId="207" headerRowCellStyle="Normal 4">
  <autoFilter ref="B2:L20" xr:uid="{00000000-0009-0000-0100-000015000000}"/>
  <tableColumns count="11">
    <tableColumn id="1" xr3:uid="{00000000-0010-0000-0200-000001000000}" name="Spec_x000a_ID" dataDxfId="206" dataCellStyle="Normal 4"/>
    <tableColumn id="2" xr3:uid="{00000000-0010-0000-0200-000002000000}" name="Spec Number" dataDxfId="205" dataCellStyle="Normal 4"/>
    <tableColumn id="3" xr3:uid="{00000000-0010-0000-0200-000003000000}" name="Importance" dataDxfId="204" dataCellStyle="Normal 4"/>
    <tableColumn id="4" xr3:uid="{00000000-0010-0000-0200-000004000000}" name="Description of Capability_x000a__x000a_Mobile Data AVL" dataDxfId="203" dataCellStyle="Normal 3"/>
    <tableColumn id="5" xr3:uid="{00000000-0010-0000-0200-000005000000}" name="Availability" dataDxfId="202" dataCellStyle="Normal 3"/>
    <tableColumn id="6" xr3:uid="{00000000-0010-0000-0200-000006000000}" name="Descriptions" dataDxfId="201"/>
    <tableColumn id="7" xr3:uid="{00000000-0010-0000-0200-000007000000}" name="Summary" dataDxfId="200"/>
    <tableColumn id="8" xr3:uid="{00000000-0010-0000-0200-000008000000}" name="Spec Weight" dataDxfId="199">
      <calculatedColumnFormula>VLOOKUP($D3,SpecData,2,FALSE)</calculatedColumnFormula>
    </tableColumn>
    <tableColumn id="9" xr3:uid="{00000000-0010-0000-0200-000009000000}" name="Avail Weight" dataDxfId="198">
      <calculatedColumnFormula>VLOOKUP($F3,AvailabilityData,2,FALSE)</calculatedColumnFormula>
    </tableColumn>
    <tableColumn id="10" xr3:uid="{00000000-0010-0000-0200-00000A000000}" name="Score" dataDxfId="197">
      <calculatedColumnFormula>I3*J3</calculatedColumnFormula>
    </tableColumn>
    <tableColumn id="11" xr3:uid="{00000000-0010-0000-0200-00000B000000}" name="Review Comments" dataDxfId="196"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EE3A59-51B5-4EFC-91DF-51D3ABC24A88}" name="Table2" displayName="Table2" ref="B2:L51" totalsRowShown="0" headerRowDxfId="195" dataDxfId="194" tableBorderDxfId="193" headerRowCellStyle="Normal 4">
  <autoFilter ref="B2:L51" xr:uid="{4DEE3A59-51B5-4EFC-91DF-51D3ABC24A88}"/>
  <tableColumns count="11">
    <tableColumn id="1" xr3:uid="{049E09F3-D08E-431E-BCFD-FF42F67E8F22}" name="Spec_x000a_ID" dataDxfId="192" dataCellStyle="Normal 4">
      <calculatedColumnFormula>IF(C3="","",$B$4)</calculatedColumnFormula>
    </tableColumn>
    <tableColumn id="2" xr3:uid="{749E5C6A-8C3C-4E29-9D0C-F3A4B45F6303}" name="Spec Number" dataDxfId="191" dataCellStyle="Normal 4">
      <calculatedColumnFormula>IF(ISTEXT(D3),MAX($C2:$C$9)+1,"")</calculatedColumnFormula>
    </tableColumn>
    <tableColumn id="3" xr3:uid="{D53881F1-3C38-42F5-B8FD-64AA144375F9}" name="Importance" dataDxfId="190" dataCellStyle="Normal 4"/>
    <tableColumn id="4" xr3:uid="{7DD927C1-0A09-466F-96FB-937271EAC2E6}" name="Description of Capability_x000a__x000a_Mobile Data Field Reporting" dataDxfId="189"/>
    <tableColumn id="5" xr3:uid="{96CD60C3-419C-4A51-91FB-42CC07F9F3CD}" name="Availability" dataDxfId="188" dataCellStyle="Normal 3 2"/>
    <tableColumn id="6" xr3:uid="{3192D3DE-3B50-429B-B823-7C8292F246F5}" name="Descriptions" dataDxfId="187"/>
    <tableColumn id="7" xr3:uid="{EFCAB2FF-272E-4087-87F0-890AC021FC21}" name="Summary" dataDxfId="186" dataCellStyle="Normal 4"/>
    <tableColumn id="8" xr3:uid="{967192E9-6025-4A49-A474-FA682A6258CE}" name="Spec Weight" dataDxfId="185" dataCellStyle="Normal 4">
      <calculatedColumnFormula>VLOOKUP($D3,SpecData,2,FALSE)</calculatedColumnFormula>
    </tableColumn>
    <tableColumn id="9" xr3:uid="{4C8C7738-1DBC-4329-9FEA-887EF9A7180A}" name="Avail Weight" dataDxfId="184" dataCellStyle="Normal 4">
      <calculatedColumnFormula>VLOOKUP($F3,AvailabilityData,2,FALSE)</calculatedColumnFormula>
    </tableColumn>
    <tableColumn id="10" xr3:uid="{9545F527-0B2A-4EC0-A54D-B23E400B83A5}" name="Score" dataDxfId="183" dataCellStyle="Normal 4">
      <calculatedColumnFormula>I3*J3</calculatedColumnFormula>
    </tableColumn>
    <tableColumn id="11" xr3:uid="{0FD9BD2D-3906-4606-8795-A2E7468916E9}" name="Review Comments" dataDxfId="182" dataCellStyle="Normal 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F7689B-DFC0-478E-A1E2-F8EB05027368}" name="Table3" displayName="Table3" ref="B2:L88" totalsRowShown="0" headerRowDxfId="181" dataDxfId="180" tableBorderDxfId="179" headerRowCellStyle="Normal 4">
  <autoFilter ref="B2:L88" xr:uid="{3BF7689B-DFC0-478E-A1E2-F8EB05027368}"/>
  <tableColumns count="11">
    <tableColumn id="1" xr3:uid="{CB854578-C4C7-44DE-9F67-BA193B17C626}" name="Spec_x000a_ID" dataDxfId="178" dataCellStyle="Normal 4">
      <calculatedColumnFormula>IF(C3="","",$B$4)</calculatedColumnFormula>
    </tableColumn>
    <tableColumn id="2" xr3:uid="{801F3CCA-6747-4B26-946C-B5F07A970DE4}" name="Spec Number" dataDxfId="177" dataCellStyle="Normal 4">
      <calculatedColumnFormula>IF(ISTEXT(D3),MAX($C2:$C$9)+1,"")</calculatedColumnFormula>
    </tableColumn>
    <tableColumn id="3" xr3:uid="{6135C7F2-5D67-4F73-8A0C-B8B8852F884C}" name="Importance" dataDxfId="176" dataCellStyle="Normal 4"/>
    <tableColumn id="4" xr3:uid="{688DF9FC-0D03-44D5-9286-A597F1A05168}" name="Description of Capability_x000a__x000a_Mobile Data Mapping / GIS" dataDxfId="175" dataCellStyle="Normal 5"/>
    <tableColumn id="5" xr3:uid="{46FB8599-416D-4247-929C-35489CCEFFA4}" name="Availability" dataDxfId="174" dataCellStyle="Normal 3 2"/>
    <tableColumn id="6" xr3:uid="{CEDBF9D7-308E-4F51-BDC1-70B4142207B4}" name="Descriptions" dataDxfId="173"/>
    <tableColumn id="7" xr3:uid="{0B4CE56D-F90D-4D27-8529-49B1FD3A0CEF}" name="Summary" dataDxfId="172" dataCellStyle="Normal 4"/>
    <tableColumn id="8" xr3:uid="{2605D887-610D-401F-8AFA-692DB14D8DEF}" name="Spec Weight" dataDxfId="171" dataCellStyle="Normal 4">
      <calculatedColumnFormula>VLOOKUP($D3,SpecData,2,FALSE)</calculatedColumnFormula>
    </tableColumn>
    <tableColumn id="9" xr3:uid="{4206FB71-735C-4764-88A9-08A2B906B48C}" name="Avail Weight" dataDxfId="170" dataCellStyle="Normal 4">
      <calculatedColumnFormula>VLOOKUP($F3,AvailabilityData,2,FALSE)</calculatedColumnFormula>
    </tableColumn>
    <tableColumn id="10" xr3:uid="{6505830D-3454-42D6-85E2-A8621268D97C}" name="Score" dataDxfId="169" dataCellStyle="Normal 4">
      <calculatedColumnFormula>I3*J3</calculatedColumnFormula>
    </tableColumn>
    <tableColumn id="11" xr3:uid="{5B6E0999-6924-4743-B97A-6EBBBB45E48C}" name="Review Comments" dataDxfId="168" dataCellStyle="Normal 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3000000}" name="Table122232930" displayName="Table122232930" ref="B2:L29" totalsRowShown="0" headerRowDxfId="167" dataDxfId="166" tableBorderDxfId="165" headerRowCellStyle="Normal 4">
  <autoFilter ref="B2:L29" xr:uid="{00000000-0009-0000-0100-00001D000000}"/>
  <tableColumns count="11">
    <tableColumn id="1" xr3:uid="{00000000-0010-0000-0300-000001000000}" name="Spec_x000a_ID" dataDxfId="164" dataCellStyle="Normal 4"/>
    <tableColumn id="2" xr3:uid="{00000000-0010-0000-0300-000002000000}" name="Spec Number" dataDxfId="163" dataCellStyle="Normal 4"/>
    <tableColumn id="3" xr3:uid="{00000000-0010-0000-0300-000003000000}" name="Importance" dataDxfId="162" dataCellStyle="Normal 4"/>
    <tableColumn id="4" xr3:uid="{00000000-0010-0000-0300-000004000000}" name="Description of Capability_x000a__x000a_Mobile Data Mobile Messaging" dataDxfId="161" dataCellStyle="Normal 3"/>
    <tableColumn id="5" xr3:uid="{00000000-0010-0000-0300-000005000000}" name="Availability" dataDxfId="160" dataCellStyle="Normal 3"/>
    <tableColumn id="6" xr3:uid="{00000000-0010-0000-0300-000006000000}" name="Descriptions" dataDxfId="159"/>
    <tableColumn id="7" xr3:uid="{00000000-0010-0000-0300-000007000000}" name="Summary" dataDxfId="158"/>
    <tableColumn id="8" xr3:uid="{00000000-0010-0000-0300-000008000000}" name="Spec Weight" dataDxfId="157">
      <calculatedColumnFormula>VLOOKUP($D3,SpecData,2,FALSE)</calculatedColumnFormula>
    </tableColumn>
    <tableColumn id="9" xr3:uid="{00000000-0010-0000-0300-000009000000}" name="Avail Weight" dataDxfId="156">
      <calculatedColumnFormula>VLOOKUP($F3,AvailabilityData,2,FALSE)</calculatedColumnFormula>
    </tableColumn>
    <tableColumn id="10" xr3:uid="{00000000-0010-0000-0300-00000A000000}" name="Score" dataDxfId="155">
      <calculatedColumnFormula>I3*J3</calculatedColumnFormula>
    </tableColumn>
    <tableColumn id="11" xr3:uid="{00000000-0010-0000-0300-00000B000000}" name="Review Comments" dataDxfId="154" dataCellStyle="Normal 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4000000}" name="Table12223" displayName="Table12223" ref="B2:L56" totalsRowShown="0" headerRowDxfId="153" dataDxfId="152" tableBorderDxfId="151" headerRowCellStyle="Normal 4">
  <autoFilter ref="B2:L56" xr:uid="{00000000-0009-0000-0100-000016000000}"/>
  <tableColumns count="11">
    <tableColumn id="1" xr3:uid="{00000000-0010-0000-0400-000001000000}" name="Spec_x000a_ID" dataDxfId="150" dataCellStyle="Normal 4"/>
    <tableColumn id="2" xr3:uid="{00000000-0010-0000-0400-000002000000}" name="Spec Number" dataDxfId="149" dataCellStyle="Normal 4"/>
    <tableColumn id="3" xr3:uid="{00000000-0010-0000-0400-000003000000}" name="Importance" dataDxfId="148" dataCellStyle="Normal 4"/>
    <tableColumn id="4" xr3:uid="{00000000-0010-0000-0400-000004000000}" name="Description of Capability_x000a__x000a_Mobile Data Mobile Application" dataDxfId="147" dataCellStyle="Normal 3"/>
    <tableColumn id="5" xr3:uid="{00000000-0010-0000-0400-000005000000}" name="Availability" dataDxfId="146" dataCellStyle="Normal 3"/>
    <tableColumn id="6" xr3:uid="{00000000-0010-0000-0400-000006000000}" name="Descriptions" dataDxfId="145"/>
    <tableColumn id="7" xr3:uid="{00000000-0010-0000-0400-000007000000}" name="Summary" dataDxfId="144"/>
    <tableColumn id="8" xr3:uid="{00000000-0010-0000-0400-000008000000}" name="Spec Weight" dataDxfId="143">
      <calculatedColumnFormula>VLOOKUP($D3,SpecData,2,FALSE)</calculatedColumnFormula>
    </tableColumn>
    <tableColumn id="9" xr3:uid="{00000000-0010-0000-0400-000009000000}" name="Avail Weight" dataDxfId="142">
      <calculatedColumnFormula>VLOOKUP($F3,AvailabilityData,2,FALSE)</calculatedColumnFormula>
    </tableColumn>
    <tableColumn id="10" xr3:uid="{00000000-0010-0000-0400-00000A000000}" name="Score" dataDxfId="141">
      <calculatedColumnFormula>I3*J3</calculatedColumnFormula>
    </tableColumn>
    <tableColumn id="11" xr3:uid="{00000000-0010-0000-0400-00000B000000}" name="Review Comments" dataDxfId="140" dataCellStyle="Normal 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5000000}" name="Table1222329" displayName="Table1222329" ref="B2:L22" totalsRowShown="0" headerRowDxfId="139" dataDxfId="138" tableBorderDxfId="137" headerRowCellStyle="Normal 4">
  <autoFilter ref="B2:L22" xr:uid="{00000000-0009-0000-0100-00001C000000}"/>
  <tableColumns count="11">
    <tableColumn id="1" xr3:uid="{00000000-0010-0000-0500-000001000000}" name="Spec_x000a_ID" dataDxfId="136" dataCellStyle="Normal 4"/>
    <tableColumn id="2" xr3:uid="{00000000-0010-0000-0500-000002000000}" name="Spec Number" dataDxfId="135" dataCellStyle="Normal 4"/>
    <tableColumn id="3" xr3:uid="{00000000-0010-0000-0500-000003000000}" name="Importance" dataDxfId="134" dataCellStyle="Normal 4"/>
    <tableColumn id="4" xr3:uid="{00000000-0010-0000-0500-000004000000}" name="Description of Capability_x000a__x000a_Mobile Data LE Local / State / NCIC Inquiry" dataDxfId="133" dataCellStyle="Normal 3"/>
    <tableColumn id="5" xr3:uid="{00000000-0010-0000-0500-000005000000}" name="Availability" dataDxfId="132" dataCellStyle="Normal 3"/>
    <tableColumn id="6" xr3:uid="{00000000-0010-0000-0500-000006000000}" name="Descriptions" dataDxfId="131"/>
    <tableColumn id="7" xr3:uid="{00000000-0010-0000-0500-000007000000}" name="Summary" dataDxfId="130"/>
    <tableColumn id="8" xr3:uid="{00000000-0010-0000-0500-000008000000}" name="Spec Weight" dataDxfId="129">
      <calculatedColumnFormula>VLOOKUP($D3,SpecData,2,FALSE)</calculatedColumnFormula>
    </tableColumn>
    <tableColumn id="9" xr3:uid="{00000000-0010-0000-0500-000009000000}" name="Avail Weight" dataDxfId="128">
      <calculatedColumnFormula>VLOOKUP($F3,AvailabilityData,2,FALSE)</calculatedColumnFormula>
    </tableColumn>
    <tableColumn id="10" xr3:uid="{00000000-0010-0000-0500-00000A000000}" name="Score" dataDxfId="127">
      <calculatedColumnFormula>I3*J3</calculatedColumnFormula>
    </tableColumn>
    <tableColumn id="11" xr3:uid="{00000000-0010-0000-0500-00000B000000}" name="Review Comments" dataDxfId="126" dataCellStyle="Normal 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J69"/>
  <sheetViews>
    <sheetView showGridLines="0" zoomScale="70" zoomScaleNormal="70" zoomScalePageLayoutView="40" workbookViewId="0">
      <selection activeCell="B69" sqref="B69"/>
    </sheetView>
  </sheetViews>
  <sheetFormatPr defaultColWidth="0" defaultRowHeight="15" zeroHeight="1" x14ac:dyDescent="0.25"/>
  <cols>
    <col min="1" max="1" width="1" customWidth="1"/>
    <col min="2" max="2" width="14.140625" customWidth="1"/>
    <col min="3" max="3" width="49.28515625" customWidth="1"/>
    <col min="4" max="9" width="18.7109375" customWidth="1"/>
    <col min="10" max="10" width="0.85546875" customWidth="1"/>
    <col min="11" max="16384" width="9.140625" hidden="1"/>
  </cols>
  <sheetData>
    <row r="1" spans="2:9" ht="2.65" customHeight="1" thickBot="1" x14ac:dyDescent="0.3"/>
    <row r="2" spans="2:9" ht="32.1" customHeight="1" thickBot="1" x14ac:dyDescent="0.3">
      <c r="B2" s="267" t="s">
        <v>0</v>
      </c>
      <c r="C2" s="268"/>
      <c r="D2" s="268"/>
      <c r="E2" s="268"/>
      <c r="F2" s="268"/>
      <c r="G2" s="268"/>
      <c r="H2" s="268"/>
      <c r="I2" s="269"/>
    </row>
    <row r="3" spans="2:9" ht="3.75" customHeight="1" x14ac:dyDescent="0.25">
      <c r="B3" s="45"/>
      <c r="C3" s="28"/>
      <c r="D3" s="28"/>
      <c r="E3" s="28"/>
      <c r="F3" s="28"/>
      <c r="G3" s="28"/>
      <c r="H3" s="28"/>
      <c r="I3" s="46"/>
    </row>
    <row r="4" spans="2:9" ht="22.15" customHeight="1" x14ac:dyDescent="0.25">
      <c r="B4" s="47" t="s">
        <v>1</v>
      </c>
      <c r="C4" s="26"/>
      <c r="D4" s="26"/>
      <c r="E4" s="26"/>
      <c r="F4" s="27"/>
      <c r="G4" s="31" t="s">
        <v>2</v>
      </c>
      <c r="H4" s="26"/>
      <c r="I4" s="48"/>
    </row>
    <row r="5" spans="2:9" ht="3.75" customHeight="1" thickBot="1" x14ac:dyDescent="0.3">
      <c r="B5" s="49"/>
      <c r="C5" s="29"/>
      <c r="D5" s="29"/>
      <c r="E5" s="29"/>
      <c r="F5" s="29"/>
      <c r="G5" s="29"/>
      <c r="H5" s="29"/>
      <c r="I5" s="50"/>
    </row>
    <row r="6" spans="2:9" ht="36.75" customHeight="1" thickBot="1" x14ac:dyDescent="0.3">
      <c r="B6" s="57" t="s">
        <v>3</v>
      </c>
      <c r="C6" s="58"/>
      <c r="D6" s="59"/>
      <c r="E6" s="60"/>
      <c r="F6" s="58"/>
      <c r="G6" s="61">
        <f>D12</f>
        <v>0</v>
      </c>
      <c r="H6" s="58"/>
      <c r="I6" s="59"/>
    </row>
    <row r="7" spans="2:9" ht="3.75" customHeight="1" x14ac:dyDescent="0.25">
      <c r="B7" s="45"/>
      <c r="C7" s="28"/>
      <c r="D7" s="28"/>
      <c r="E7" s="28"/>
      <c r="F7" s="28"/>
      <c r="G7" s="28"/>
      <c r="H7" s="28"/>
      <c r="I7" s="46"/>
    </row>
    <row r="8" spans="2:9" s="6" customFormat="1" ht="35.25" customHeight="1" x14ac:dyDescent="0.25">
      <c r="B8" s="51" t="s">
        <v>4</v>
      </c>
      <c r="C8" s="7" t="s">
        <v>5</v>
      </c>
      <c r="D8" s="7" t="s">
        <v>6</v>
      </c>
      <c r="E8" s="7" t="s">
        <v>7</v>
      </c>
      <c r="F8" s="7" t="s">
        <v>8</v>
      </c>
      <c r="G8" s="7" t="s">
        <v>9</v>
      </c>
      <c r="H8" s="7" t="s">
        <v>10</v>
      </c>
      <c r="I8" s="52" t="s">
        <v>11</v>
      </c>
    </row>
    <row r="9" spans="2:9" ht="20.100000000000001" customHeight="1" x14ac:dyDescent="0.25">
      <c r="B9" s="53" t="s">
        <v>12</v>
      </c>
      <c r="C9" s="8" t="s">
        <v>13</v>
      </c>
      <c r="D9" s="9">
        <f>(G9*3)+(H9*2)+(I9*1)</f>
        <v>931</v>
      </c>
      <c r="E9" s="9">
        <f>E15</f>
        <v>423</v>
      </c>
      <c r="F9" s="9">
        <f>F15</f>
        <v>423</v>
      </c>
      <c r="G9" s="9">
        <f>G15</f>
        <v>202</v>
      </c>
      <c r="H9" s="9">
        <f>H15</f>
        <v>126</v>
      </c>
      <c r="I9" s="54">
        <f>I15</f>
        <v>73</v>
      </c>
    </row>
    <row r="10" spans="2:9" ht="3.75" customHeight="1" x14ac:dyDescent="0.25">
      <c r="B10" s="55"/>
      <c r="C10" s="30"/>
      <c r="D10" s="30"/>
      <c r="E10" s="30"/>
      <c r="F10" s="30"/>
      <c r="G10" s="30"/>
      <c r="H10" s="30"/>
      <c r="I10" s="56"/>
    </row>
    <row r="11" spans="2:9" s="6" customFormat="1" ht="43.5" customHeight="1" x14ac:dyDescent="0.25">
      <c r="B11" s="51" t="s">
        <v>4</v>
      </c>
      <c r="C11" s="7" t="s">
        <v>5</v>
      </c>
      <c r="D11" s="7" t="s">
        <v>14</v>
      </c>
      <c r="E11" s="7" t="s">
        <v>7</v>
      </c>
      <c r="F11" s="7" t="s">
        <v>8</v>
      </c>
      <c r="G11" s="7" t="s">
        <v>15</v>
      </c>
      <c r="H11" s="7" t="s">
        <v>16</v>
      </c>
      <c r="I11" s="52" t="s">
        <v>17</v>
      </c>
    </row>
    <row r="12" spans="2:9" ht="20.100000000000001" customHeight="1" x14ac:dyDescent="0.25">
      <c r="B12" s="53" t="s">
        <v>12</v>
      </c>
      <c r="C12" s="8" t="s">
        <v>13</v>
      </c>
      <c r="D12" s="9">
        <f>D35+D45+D55</f>
        <v>0</v>
      </c>
      <c r="E12" s="9">
        <f>E25</f>
        <v>423</v>
      </c>
      <c r="F12" s="9">
        <f>F25</f>
        <v>423</v>
      </c>
      <c r="G12" s="9">
        <f>G25</f>
        <v>0</v>
      </c>
      <c r="H12" s="9">
        <f>H25</f>
        <v>0</v>
      </c>
      <c r="I12" s="54">
        <f>I25</f>
        <v>0</v>
      </c>
    </row>
    <row r="13" spans="2:9" ht="3.75" customHeight="1" x14ac:dyDescent="0.25">
      <c r="B13" s="55"/>
      <c r="C13" s="30"/>
      <c r="D13" s="30"/>
      <c r="E13" s="30"/>
      <c r="F13" s="30"/>
      <c r="G13" s="30"/>
      <c r="H13" s="30"/>
      <c r="I13" s="56"/>
    </row>
    <row r="14" spans="2:9" s="6" customFormat="1" ht="35.25" customHeight="1" x14ac:dyDescent="0.25">
      <c r="B14" s="51" t="s">
        <v>4</v>
      </c>
      <c r="C14" s="7" t="s">
        <v>5</v>
      </c>
      <c r="D14" s="7" t="s">
        <v>6</v>
      </c>
      <c r="E14" s="7" t="s">
        <v>7</v>
      </c>
      <c r="F14" s="7" t="s">
        <v>8</v>
      </c>
      <c r="G14" s="7" t="s">
        <v>9</v>
      </c>
      <c r="H14" s="7" t="s">
        <v>10</v>
      </c>
      <c r="I14" s="52" t="s">
        <v>11</v>
      </c>
    </row>
    <row r="15" spans="2:9" ht="20.100000000000001" customHeight="1" x14ac:dyDescent="0.25">
      <c r="B15" s="53" t="s">
        <v>18</v>
      </c>
      <c r="C15" s="9"/>
      <c r="D15" s="9">
        <f t="shared" ref="D15:I15" si="0">SUM(D16:D22)</f>
        <v>931</v>
      </c>
      <c r="E15" s="9">
        <f t="shared" si="0"/>
        <v>423</v>
      </c>
      <c r="F15" s="9">
        <f t="shared" si="0"/>
        <v>423</v>
      </c>
      <c r="G15" s="9">
        <f t="shared" si="0"/>
        <v>202</v>
      </c>
      <c r="H15" s="9">
        <f t="shared" si="0"/>
        <v>126</v>
      </c>
      <c r="I15" s="9">
        <f t="shared" si="0"/>
        <v>73</v>
      </c>
    </row>
    <row r="16" spans="2:9" ht="20.100000000000001" customHeight="1" x14ac:dyDescent="0.25">
      <c r="B16" s="53"/>
      <c r="C16" s="9" t="str">
        <f>'Support Data'!F4</f>
        <v>Mobile Data General Requirements</v>
      </c>
      <c r="D16" s="9">
        <f t="shared" ref="D16:D22" si="1">(G16*3)+(H16*2)+(I16*1)</f>
        <v>412</v>
      </c>
      <c r="E16" s="9">
        <f>'MD General Requirements'!H3</f>
        <v>185</v>
      </c>
      <c r="F16" s="9">
        <f>'MD General Requirements'!H5</f>
        <v>185</v>
      </c>
      <c r="G16" s="9">
        <f>COUNTIF('MD General Requirements'!$D:$D,"Crucial")</f>
        <v>86</v>
      </c>
      <c r="H16" s="9">
        <f>COUNTIF('MD General Requirements'!$D:$D,"Important")</f>
        <v>61</v>
      </c>
      <c r="I16" s="54">
        <f>COUNTIF('MD General Requirements'!$D:$D,"Minimal")</f>
        <v>32</v>
      </c>
    </row>
    <row r="17" spans="2:9" ht="20.100000000000001" customHeight="1" x14ac:dyDescent="0.25">
      <c r="B17" s="53"/>
      <c r="C17" s="9" t="str">
        <f>'Support Data'!F5</f>
        <v>Mobile Data Automatic Vehicle Location (AVL)</v>
      </c>
      <c r="D17" s="9">
        <f t="shared" si="1"/>
        <v>36</v>
      </c>
      <c r="E17" s="9">
        <f>'MD AVL'!H3</f>
        <v>16</v>
      </c>
      <c r="F17" s="9">
        <f>'MD AVL'!H4</f>
        <v>16</v>
      </c>
      <c r="G17" s="9">
        <f>COUNTIF('MD AVL'!$D:$D,"Crucial")</f>
        <v>8</v>
      </c>
      <c r="H17" s="9">
        <f>COUNTIF('MD AVL'!$D:$D,"Important")</f>
        <v>4</v>
      </c>
      <c r="I17" s="54">
        <f>COUNTIF('MD AVL'!$D:$D,"Minimal")</f>
        <v>4</v>
      </c>
    </row>
    <row r="18" spans="2:9" ht="20.100000000000001" customHeight="1" x14ac:dyDescent="0.25">
      <c r="B18" s="53"/>
      <c r="C18" s="9" t="str">
        <f>'Support Data'!F6</f>
        <v>Mobile Data Field Reporting</v>
      </c>
      <c r="D18" s="9">
        <f t="shared" si="1"/>
        <v>86</v>
      </c>
      <c r="E18" s="9">
        <f>'MD Field Reporting'!H3</f>
        <v>47</v>
      </c>
      <c r="F18" s="9">
        <f>'MD Field Reporting'!H4</f>
        <v>47</v>
      </c>
      <c r="G18" s="9">
        <f>COUNTIF('MD Field Reporting'!$D:$D,"Crucial")</f>
        <v>23</v>
      </c>
      <c r="H18" s="9">
        <f>COUNTIF('MD Field Reporting'!$D:$D,"Important")</f>
        <v>6</v>
      </c>
      <c r="I18" s="54">
        <f>COUNTIF('MD Field Reporting'!$D:$D,"Minimal")</f>
        <v>5</v>
      </c>
    </row>
    <row r="19" spans="2:9" ht="20.100000000000001" customHeight="1" x14ac:dyDescent="0.25">
      <c r="B19" s="53"/>
      <c r="C19" s="9" t="str">
        <f>'Support Data'!F7</f>
        <v>Mobile Data Mapping / GIS</v>
      </c>
      <c r="D19" s="9">
        <f t="shared" si="1"/>
        <v>195</v>
      </c>
      <c r="E19" s="9">
        <f>'MD Mapping - GIS'!H3</f>
        <v>82</v>
      </c>
      <c r="F19" s="9">
        <f>'MD Mapping - GIS'!H4</f>
        <v>82</v>
      </c>
      <c r="G19" s="9">
        <f>COUNTIF('MD Mapping - GIS'!$D:$D,"Crucial")</f>
        <v>45</v>
      </c>
      <c r="H19" s="9">
        <f>COUNTIF('MD Mapping - GIS'!$D:$D,"Important")</f>
        <v>23</v>
      </c>
      <c r="I19" s="54">
        <f>COUNTIF('MD Mapping - GIS'!$D:$D,"Minimal")</f>
        <v>14</v>
      </c>
    </row>
    <row r="20" spans="2:9" ht="20.100000000000001" customHeight="1" x14ac:dyDescent="0.25">
      <c r="B20" s="53"/>
      <c r="C20" s="9" t="str">
        <f>'Support Data'!F8</f>
        <v>Mobile Data Messaging</v>
      </c>
      <c r="D20" s="9">
        <f t="shared" si="1"/>
        <v>50</v>
      </c>
      <c r="E20" s="9">
        <f>'MD Messaging'!H3</f>
        <v>25</v>
      </c>
      <c r="F20" s="9">
        <f>'MD Messaging'!H4</f>
        <v>25</v>
      </c>
      <c r="G20" s="9">
        <f>COUNTIF('MD Messaging'!$D:$D,"Crucial")</f>
        <v>6</v>
      </c>
      <c r="H20" s="9">
        <f>COUNTIF('MD Messaging'!$D:$D,"Important")</f>
        <v>14</v>
      </c>
      <c r="I20" s="54">
        <f>COUNTIF('MD Messaging'!$D:$D,"Minimal")</f>
        <v>4</v>
      </c>
    </row>
    <row r="21" spans="2:9" ht="20.100000000000001" customHeight="1" x14ac:dyDescent="0.25">
      <c r="B21" s="53"/>
      <c r="C21" s="9" t="str">
        <f>'Support Data'!F9</f>
        <v>Mobile Data Mobile Application</v>
      </c>
      <c r="D21" s="9">
        <f t="shared" si="1"/>
        <v>104</v>
      </c>
      <c r="E21" s="9">
        <f>'MD Mobile Application'!H3</f>
        <v>49</v>
      </c>
      <c r="F21" s="9">
        <f>'MD Mobile Application'!H4</f>
        <v>49</v>
      </c>
      <c r="G21" s="9">
        <f>COUNTIF('MD Mobile Application'!$D:$D,"Crucial")</f>
        <v>22</v>
      </c>
      <c r="H21" s="9">
        <f>COUNTIF('MD Mobile Application'!$D:$D,"Important")</f>
        <v>13</v>
      </c>
      <c r="I21" s="54">
        <f>COUNTIF('MD Mobile Application'!$D:$D,"Minimal")</f>
        <v>12</v>
      </c>
    </row>
    <row r="22" spans="2:9" ht="20.100000000000001" customHeight="1" x14ac:dyDescent="0.25">
      <c r="B22" s="53"/>
      <c r="C22" s="9" t="str">
        <f>'Support Data'!F10</f>
        <v>Mobile Data LE Local / State / NCIC Inquiry</v>
      </c>
      <c r="D22" s="9">
        <f t="shared" si="1"/>
        <v>48</v>
      </c>
      <c r="E22" s="9">
        <f>'MD State - NCIC'!H3</f>
        <v>19</v>
      </c>
      <c r="F22" s="9">
        <f>'MD State - NCIC'!H4</f>
        <v>19</v>
      </c>
      <c r="G22" s="9">
        <f>COUNTIF('MD State - NCIC'!$D:$D,"Crucial")</f>
        <v>12</v>
      </c>
      <c r="H22" s="9">
        <f>COUNTIF('MD State - NCIC'!$D:$D,"Important")</f>
        <v>5</v>
      </c>
      <c r="I22" s="54">
        <f>COUNTIF('MD State - NCIC'!$D:$D,"Minimal")</f>
        <v>2</v>
      </c>
    </row>
    <row r="23" spans="2:9" ht="3.75" customHeight="1" x14ac:dyDescent="0.25">
      <c r="B23" s="55"/>
      <c r="C23" s="30"/>
      <c r="D23" s="30"/>
      <c r="E23" s="30"/>
      <c r="F23" s="30"/>
      <c r="G23" s="30"/>
      <c r="H23" s="30"/>
      <c r="I23" s="56"/>
    </row>
    <row r="24" spans="2:9" s="6" customFormat="1" ht="43.5" customHeight="1" x14ac:dyDescent="0.25">
      <c r="B24" s="51" t="s">
        <v>4</v>
      </c>
      <c r="C24" s="7" t="s">
        <v>5</v>
      </c>
      <c r="D24" s="7" t="s">
        <v>14</v>
      </c>
      <c r="E24" s="7" t="s">
        <v>7</v>
      </c>
      <c r="F24" s="7" t="s">
        <v>8</v>
      </c>
      <c r="G24" s="7" t="s">
        <v>15</v>
      </c>
      <c r="H24" s="7" t="s">
        <v>16</v>
      </c>
      <c r="I24" s="52" t="s">
        <v>17</v>
      </c>
    </row>
    <row r="25" spans="2:9" ht="20.100000000000001" customHeight="1" x14ac:dyDescent="0.25">
      <c r="B25" s="53" t="str">
        <f>B15</f>
        <v>MOBILE</v>
      </c>
      <c r="C25" s="9"/>
      <c r="D25" s="9">
        <f t="shared" ref="D25:I25" si="2">SUM(D26:D32)</f>
        <v>0</v>
      </c>
      <c r="E25" s="9">
        <f t="shared" si="2"/>
        <v>423</v>
      </c>
      <c r="F25" s="9">
        <f t="shared" si="2"/>
        <v>423</v>
      </c>
      <c r="G25" s="9">
        <f t="shared" si="2"/>
        <v>0</v>
      </c>
      <c r="H25" s="9">
        <f t="shared" si="2"/>
        <v>0</v>
      </c>
      <c r="I25" s="9">
        <f t="shared" si="2"/>
        <v>0</v>
      </c>
    </row>
    <row r="26" spans="2:9" ht="20.100000000000001" customHeight="1" x14ac:dyDescent="0.25">
      <c r="B26" s="53"/>
      <c r="C26" s="9" t="str">
        <f t="shared" ref="C26:C32" si="3">C16</f>
        <v>Mobile Data General Requirements</v>
      </c>
      <c r="D26" s="9">
        <f>'MD General Requirements'!K3</f>
        <v>0</v>
      </c>
      <c r="E26" s="9">
        <f>'MD General Requirements'!H3</f>
        <v>185</v>
      </c>
      <c r="F26" s="9">
        <f>'MD General Requirements'!H5</f>
        <v>185</v>
      </c>
      <c r="G26" s="9">
        <f>'MD General Requirements'!H6</f>
        <v>0</v>
      </c>
      <c r="H26" s="9">
        <f>'MD General Requirements'!H7</f>
        <v>0</v>
      </c>
      <c r="I26" s="54">
        <f>'MD General Requirements'!H9</f>
        <v>0</v>
      </c>
    </row>
    <row r="27" spans="2:9" ht="20.100000000000001" customHeight="1" x14ac:dyDescent="0.25">
      <c r="B27" s="53"/>
      <c r="C27" s="9" t="str">
        <f t="shared" si="3"/>
        <v>Mobile Data Automatic Vehicle Location (AVL)</v>
      </c>
      <c r="D27" s="9">
        <f>'MD AVL'!K3</f>
        <v>0</v>
      </c>
      <c r="E27" s="9">
        <f>'MD AVL'!H3</f>
        <v>16</v>
      </c>
      <c r="F27" s="9">
        <f>'MD AVL'!H4</f>
        <v>16</v>
      </c>
      <c r="G27" s="9">
        <f>'MD AVL'!H5</f>
        <v>0</v>
      </c>
      <c r="H27" s="9">
        <f>'MD AVL'!H6</f>
        <v>0</v>
      </c>
      <c r="I27" s="54">
        <f>'MD AVL'!H7</f>
        <v>0</v>
      </c>
    </row>
    <row r="28" spans="2:9" ht="20.100000000000001" customHeight="1" x14ac:dyDescent="0.25">
      <c r="B28" s="53"/>
      <c r="C28" s="9" t="str">
        <f t="shared" si="3"/>
        <v>Mobile Data Field Reporting</v>
      </c>
      <c r="D28" s="9">
        <f>'MD Field Reporting'!K3</f>
        <v>0</v>
      </c>
      <c r="E28" s="9">
        <f>'MD Field Reporting'!H3</f>
        <v>47</v>
      </c>
      <c r="F28" s="9">
        <f>'MD Field Reporting'!H4</f>
        <v>47</v>
      </c>
      <c r="G28" s="9">
        <f>'MD Field Reporting'!H5</f>
        <v>0</v>
      </c>
      <c r="H28" s="9">
        <f>'MD Field Reporting'!H6</f>
        <v>0</v>
      </c>
      <c r="I28" s="9">
        <f>'MD Field Reporting'!H7</f>
        <v>0</v>
      </c>
    </row>
    <row r="29" spans="2:9" ht="20.100000000000001" customHeight="1" x14ac:dyDescent="0.25">
      <c r="B29" s="53"/>
      <c r="C29" s="9" t="str">
        <f t="shared" si="3"/>
        <v>Mobile Data Mapping / GIS</v>
      </c>
      <c r="D29" s="9">
        <f>'MD Mapping - GIS'!K3</f>
        <v>0</v>
      </c>
      <c r="E29" s="9">
        <f>'MD Mapping - GIS'!H3</f>
        <v>82</v>
      </c>
      <c r="F29" s="9">
        <f>'MD Mapping - GIS'!H4</f>
        <v>82</v>
      </c>
      <c r="G29" s="9">
        <f>'MD Mapping - GIS'!H5</f>
        <v>0</v>
      </c>
      <c r="H29" s="9">
        <f>'MD Mapping - GIS'!H6</f>
        <v>0</v>
      </c>
      <c r="I29" s="54">
        <f>'MD Mapping - GIS'!H7</f>
        <v>0</v>
      </c>
    </row>
    <row r="30" spans="2:9" ht="20.100000000000001" customHeight="1" x14ac:dyDescent="0.25">
      <c r="B30" s="53"/>
      <c r="C30" s="9" t="str">
        <f t="shared" si="3"/>
        <v>Mobile Data Messaging</v>
      </c>
      <c r="D30" s="9">
        <f>'MD Messaging'!K3</f>
        <v>0</v>
      </c>
      <c r="E30" s="9">
        <f>'MD Messaging'!H3</f>
        <v>25</v>
      </c>
      <c r="F30" s="9">
        <f>'MD Messaging'!H4</f>
        <v>25</v>
      </c>
      <c r="G30" s="9">
        <f>'MD Messaging'!H5</f>
        <v>0</v>
      </c>
      <c r="H30" s="9">
        <f>'MD Messaging'!H6</f>
        <v>0</v>
      </c>
      <c r="I30" s="54">
        <f>'MD Messaging'!H7</f>
        <v>0</v>
      </c>
    </row>
    <row r="31" spans="2:9" ht="20.100000000000001" customHeight="1" x14ac:dyDescent="0.25">
      <c r="B31" s="53"/>
      <c r="C31" s="9" t="str">
        <f t="shared" si="3"/>
        <v>Mobile Data Mobile Application</v>
      </c>
      <c r="D31" s="9">
        <f>'MD Mobile Application'!K3</f>
        <v>0</v>
      </c>
      <c r="E31" s="9">
        <f>'MD Mobile Application'!H3</f>
        <v>49</v>
      </c>
      <c r="F31" s="9">
        <f>'MD Mobile Application'!H4</f>
        <v>49</v>
      </c>
      <c r="G31" s="9">
        <f>'MD Mobile Application'!H5</f>
        <v>0</v>
      </c>
      <c r="H31" s="9">
        <f>'MD Mobile Application'!H6</f>
        <v>0</v>
      </c>
      <c r="I31" s="54">
        <f>'MD Mobile Application'!H7</f>
        <v>0</v>
      </c>
    </row>
    <row r="32" spans="2:9" ht="20.100000000000001" customHeight="1" x14ac:dyDescent="0.25">
      <c r="B32" s="53"/>
      <c r="C32" s="9" t="str">
        <f t="shared" si="3"/>
        <v>Mobile Data LE Local / State / NCIC Inquiry</v>
      </c>
      <c r="D32" s="9">
        <f>'MD State - NCIC'!K3</f>
        <v>0</v>
      </c>
      <c r="E32" s="9">
        <f>'MD State - NCIC'!H3</f>
        <v>19</v>
      </c>
      <c r="F32" s="9">
        <f>'MD State - NCIC'!H4</f>
        <v>19</v>
      </c>
      <c r="G32" s="9">
        <f>'MD State - NCIC'!H5</f>
        <v>0</v>
      </c>
      <c r="H32" s="9">
        <f>'MD State - NCIC'!H6</f>
        <v>0</v>
      </c>
      <c r="I32" s="54">
        <f>'MD State - NCIC'!H7</f>
        <v>0</v>
      </c>
    </row>
    <row r="33" spans="2:9" ht="3.75" customHeight="1" x14ac:dyDescent="0.25">
      <c r="B33" s="55"/>
      <c r="C33" s="30"/>
      <c r="D33" s="30"/>
      <c r="E33" s="30"/>
      <c r="F33" s="30"/>
      <c r="G33" s="30"/>
      <c r="H33" s="30"/>
      <c r="I33" s="56"/>
    </row>
    <row r="34" spans="2:9" s="6" customFormat="1" ht="43.5" customHeight="1" x14ac:dyDescent="0.25">
      <c r="B34" s="51" t="s">
        <v>4</v>
      </c>
      <c r="C34" s="7" t="s">
        <v>5</v>
      </c>
      <c r="D34" s="7" t="s">
        <v>14</v>
      </c>
      <c r="E34" s="7" t="s">
        <v>19</v>
      </c>
      <c r="F34" s="7" t="s">
        <v>20</v>
      </c>
      <c r="G34" s="7" t="s">
        <v>21</v>
      </c>
      <c r="H34" s="7" t="s">
        <v>22</v>
      </c>
      <c r="I34" s="52" t="s">
        <v>23</v>
      </c>
    </row>
    <row r="35" spans="2:9" ht="20.100000000000001" customHeight="1" x14ac:dyDescent="0.25">
      <c r="B35" s="53" t="str">
        <f>B15</f>
        <v>MOBILE</v>
      </c>
      <c r="C35" s="9"/>
      <c r="D35" s="9">
        <f t="shared" ref="D35:I35" si="4">SUM(D36:D42)</f>
        <v>0</v>
      </c>
      <c r="E35" s="9">
        <f t="shared" si="4"/>
        <v>202</v>
      </c>
      <c r="F35" s="9">
        <f t="shared" si="4"/>
        <v>202</v>
      </c>
      <c r="G35" s="9">
        <f t="shared" si="4"/>
        <v>0</v>
      </c>
      <c r="H35" s="9">
        <f t="shared" si="4"/>
        <v>0</v>
      </c>
      <c r="I35" s="9">
        <f t="shared" si="4"/>
        <v>0</v>
      </c>
    </row>
    <row r="36" spans="2:9" ht="20.100000000000001" customHeight="1" x14ac:dyDescent="0.25">
      <c r="B36" s="53"/>
      <c r="C36" s="9" t="str">
        <f t="shared" ref="C36:C42" si="5">C16</f>
        <v>Mobile Data General Requirements</v>
      </c>
      <c r="D36" s="9">
        <f t="shared" ref="D36:D42" si="6">G36*3</f>
        <v>0</v>
      </c>
      <c r="E36" s="9">
        <f>COUNTIF('MD General Requirements'!$D:$D,"Crucial")</f>
        <v>86</v>
      </c>
      <c r="F36" s="9">
        <f>'MD General Requirements'!H10</f>
        <v>86</v>
      </c>
      <c r="G36" s="9">
        <f>'MD General Requirements'!H11</f>
        <v>0</v>
      </c>
      <c r="H36" s="9">
        <f>'MD General Requirements'!H12</f>
        <v>0</v>
      </c>
      <c r="I36" s="54">
        <f>'MD General Requirements'!H13</f>
        <v>0</v>
      </c>
    </row>
    <row r="37" spans="2:9" ht="20.100000000000001" customHeight="1" x14ac:dyDescent="0.25">
      <c r="B37" s="53"/>
      <c r="C37" s="9" t="str">
        <f t="shared" si="5"/>
        <v>Mobile Data Automatic Vehicle Location (AVL)</v>
      </c>
      <c r="D37" s="9">
        <f t="shared" si="6"/>
        <v>0</v>
      </c>
      <c r="E37" s="9">
        <f>COUNTIF('MD AVL'!$D:$D,"Crucial")</f>
        <v>8</v>
      </c>
      <c r="F37" s="9">
        <f>'MD AVL'!H8</f>
        <v>8</v>
      </c>
      <c r="G37" s="9">
        <f>'MD AVL'!H9</f>
        <v>0</v>
      </c>
      <c r="H37" s="9">
        <f>'MD AVL'!H10</f>
        <v>0</v>
      </c>
      <c r="I37" s="54">
        <f>'MD AVL'!H11</f>
        <v>0</v>
      </c>
    </row>
    <row r="38" spans="2:9" ht="20.100000000000001" customHeight="1" x14ac:dyDescent="0.25">
      <c r="B38" s="53"/>
      <c r="C38" s="9" t="str">
        <f t="shared" si="5"/>
        <v>Mobile Data Field Reporting</v>
      </c>
      <c r="D38" s="9">
        <f t="shared" si="6"/>
        <v>0</v>
      </c>
      <c r="E38" s="9">
        <f>COUNTIF('MD Field Reporting'!$D:$D,"Crucial")</f>
        <v>23</v>
      </c>
      <c r="F38" s="9">
        <f>'MD Field Reporting'!H8</f>
        <v>23</v>
      </c>
      <c r="G38" s="9">
        <f>'MD Field Reporting'!H9</f>
        <v>0</v>
      </c>
      <c r="H38" s="9">
        <f>'MD Field Reporting'!H10</f>
        <v>0</v>
      </c>
      <c r="I38" s="9">
        <f>'MD Field Reporting'!H11</f>
        <v>0</v>
      </c>
    </row>
    <row r="39" spans="2:9" ht="20.100000000000001" customHeight="1" x14ac:dyDescent="0.25">
      <c r="B39" s="53"/>
      <c r="C39" s="9" t="str">
        <f t="shared" si="5"/>
        <v>Mobile Data Mapping / GIS</v>
      </c>
      <c r="D39" s="9">
        <f t="shared" si="6"/>
        <v>0</v>
      </c>
      <c r="E39" s="9">
        <f>COUNTIF('MD Mapping - GIS'!$D:$D,"Crucial")</f>
        <v>45</v>
      </c>
      <c r="F39" s="9">
        <f>'MD Mapping - GIS'!H8</f>
        <v>45</v>
      </c>
      <c r="G39" s="9">
        <f>'MD Mapping - GIS'!H9</f>
        <v>0</v>
      </c>
      <c r="H39" s="9">
        <f>'MD Mapping - GIS'!H10</f>
        <v>0</v>
      </c>
      <c r="I39" s="54">
        <f>'MD Mapping - GIS'!H11</f>
        <v>0</v>
      </c>
    </row>
    <row r="40" spans="2:9" ht="20.100000000000001" customHeight="1" x14ac:dyDescent="0.25">
      <c r="B40" s="53"/>
      <c r="C40" s="9" t="str">
        <f t="shared" si="5"/>
        <v>Mobile Data Messaging</v>
      </c>
      <c r="D40" s="9">
        <f t="shared" si="6"/>
        <v>0</v>
      </c>
      <c r="E40" s="9">
        <f>COUNTIF('MD Messaging'!$D:$D,"Crucial")</f>
        <v>6</v>
      </c>
      <c r="F40" s="9">
        <f>'MD Messaging'!H8</f>
        <v>6</v>
      </c>
      <c r="G40" s="9">
        <f>'MD Messaging'!H9</f>
        <v>0</v>
      </c>
      <c r="H40" s="9">
        <f>'MD Messaging'!H10</f>
        <v>0</v>
      </c>
      <c r="I40" s="54">
        <f>'MD Messaging'!H11</f>
        <v>0</v>
      </c>
    </row>
    <row r="41" spans="2:9" ht="20.100000000000001" customHeight="1" x14ac:dyDescent="0.25">
      <c r="B41" s="53"/>
      <c r="C41" s="9" t="str">
        <f t="shared" si="5"/>
        <v>Mobile Data Mobile Application</v>
      </c>
      <c r="D41" s="9">
        <f t="shared" si="6"/>
        <v>0</v>
      </c>
      <c r="E41" s="9">
        <f>COUNTIF('MD Mobile Application'!$D:$D,"Crucial")</f>
        <v>22</v>
      </c>
      <c r="F41" s="9">
        <f>'MD Mobile Application'!H8</f>
        <v>22</v>
      </c>
      <c r="G41" s="9">
        <f>'MD Mobile Application'!H9</f>
        <v>0</v>
      </c>
      <c r="H41" s="9">
        <f>'MD Mobile Application'!H10</f>
        <v>0</v>
      </c>
      <c r="I41" s="54">
        <f>'MD Mobile Application'!H11</f>
        <v>0</v>
      </c>
    </row>
    <row r="42" spans="2:9" ht="20.100000000000001" customHeight="1" x14ac:dyDescent="0.25">
      <c r="B42" s="53"/>
      <c r="C42" s="9" t="str">
        <f t="shared" si="5"/>
        <v>Mobile Data LE Local / State / NCIC Inquiry</v>
      </c>
      <c r="D42" s="9">
        <f t="shared" si="6"/>
        <v>0</v>
      </c>
      <c r="E42" s="9">
        <f>COUNTIF('MD State - NCIC'!$D:$D,"Crucial")</f>
        <v>12</v>
      </c>
      <c r="F42" s="9">
        <f>'MD State - NCIC'!H8</f>
        <v>12</v>
      </c>
      <c r="G42" s="9">
        <f>'MD State - NCIC'!H9</f>
        <v>0</v>
      </c>
      <c r="H42" s="9">
        <f>'MD State - NCIC'!H10</f>
        <v>0</v>
      </c>
      <c r="I42" s="54">
        <f>'MD State - NCIC'!H11</f>
        <v>0</v>
      </c>
    </row>
    <row r="43" spans="2:9" ht="3.75" customHeight="1" x14ac:dyDescent="0.25">
      <c r="B43" s="55"/>
      <c r="C43" s="30"/>
      <c r="D43" s="30"/>
      <c r="E43" s="30"/>
      <c r="F43" s="30"/>
      <c r="G43" s="30"/>
      <c r="H43" s="30"/>
      <c r="I43" s="56"/>
    </row>
    <row r="44" spans="2:9" s="6" customFormat="1" ht="60" customHeight="1" x14ac:dyDescent="0.25">
      <c r="B44" s="51" t="s">
        <v>4</v>
      </c>
      <c r="C44" s="7" t="s">
        <v>5</v>
      </c>
      <c r="D44" s="7" t="s">
        <v>14</v>
      </c>
      <c r="E44" s="7" t="s">
        <v>24</v>
      </c>
      <c r="F44" s="7" t="s">
        <v>25</v>
      </c>
      <c r="G44" s="7" t="s">
        <v>26</v>
      </c>
      <c r="H44" s="7" t="s">
        <v>27</v>
      </c>
      <c r="I44" s="52" t="s">
        <v>28</v>
      </c>
    </row>
    <row r="45" spans="2:9" ht="20.100000000000001" customHeight="1" x14ac:dyDescent="0.25">
      <c r="B45" s="53" t="str">
        <f>B15</f>
        <v>MOBILE</v>
      </c>
      <c r="C45" s="9"/>
      <c r="D45" s="9">
        <f t="shared" ref="D45:I45" si="7">SUM(D46:D52)</f>
        <v>0</v>
      </c>
      <c r="E45" s="9">
        <f t="shared" si="7"/>
        <v>126</v>
      </c>
      <c r="F45" s="9">
        <f t="shared" si="7"/>
        <v>126</v>
      </c>
      <c r="G45" s="9">
        <f t="shared" si="7"/>
        <v>0</v>
      </c>
      <c r="H45" s="9">
        <f t="shared" si="7"/>
        <v>0</v>
      </c>
      <c r="I45" s="9">
        <f t="shared" si="7"/>
        <v>0</v>
      </c>
    </row>
    <row r="46" spans="2:9" ht="20.100000000000001" customHeight="1" x14ac:dyDescent="0.25">
      <c r="B46" s="53"/>
      <c r="C46" s="9" t="str">
        <f t="shared" ref="C46:C52" si="8">C16</f>
        <v>Mobile Data General Requirements</v>
      </c>
      <c r="D46" s="9">
        <f t="shared" ref="D46:D52" si="9">G46*2</f>
        <v>0</v>
      </c>
      <c r="E46" s="9">
        <f>COUNTIF('MD General Requirements'!$D:$D,"Important")</f>
        <v>61</v>
      </c>
      <c r="F46" s="9">
        <f>'MD General Requirements'!H14</f>
        <v>61</v>
      </c>
      <c r="G46" s="9">
        <f>'MD General Requirements'!H15</f>
        <v>0</v>
      </c>
      <c r="H46" s="9">
        <f>'MD General Requirements'!H16</f>
        <v>0</v>
      </c>
      <c r="I46" s="54">
        <f>'MD General Requirements'!H17</f>
        <v>0</v>
      </c>
    </row>
    <row r="47" spans="2:9" ht="20.100000000000001" customHeight="1" x14ac:dyDescent="0.25">
      <c r="B47" s="53"/>
      <c r="C47" s="9" t="str">
        <f t="shared" si="8"/>
        <v>Mobile Data Automatic Vehicle Location (AVL)</v>
      </c>
      <c r="D47" s="9">
        <f t="shared" si="9"/>
        <v>0</v>
      </c>
      <c r="E47" s="9">
        <f>COUNTIF('MD AVL'!$D:$D,"Important")</f>
        <v>4</v>
      </c>
      <c r="F47" s="9">
        <f>'MD AVL'!H12</f>
        <v>4</v>
      </c>
      <c r="G47" s="9">
        <f>'MD AVL'!H13</f>
        <v>0</v>
      </c>
      <c r="H47" s="9">
        <f>'MD AVL'!H14</f>
        <v>0</v>
      </c>
      <c r="I47" s="54">
        <f>'MD AVL'!H16</f>
        <v>0</v>
      </c>
    </row>
    <row r="48" spans="2:9" ht="20.100000000000001" customHeight="1" x14ac:dyDescent="0.25">
      <c r="B48" s="53"/>
      <c r="C48" s="9" t="str">
        <f t="shared" si="8"/>
        <v>Mobile Data Field Reporting</v>
      </c>
      <c r="D48" s="9">
        <f t="shared" si="9"/>
        <v>0</v>
      </c>
      <c r="E48" s="9">
        <f>COUNTIF('MD Field Reporting'!$D:$D,"Important")</f>
        <v>6</v>
      </c>
      <c r="F48" s="9">
        <f>'MD Field Reporting'!H13</f>
        <v>6</v>
      </c>
      <c r="G48" s="9">
        <f>'MD Field Reporting'!H14</f>
        <v>0</v>
      </c>
      <c r="H48" s="9">
        <f>'MD Field Reporting'!H15</f>
        <v>0</v>
      </c>
      <c r="I48" s="9">
        <f>'MD Field Reporting'!H16</f>
        <v>0</v>
      </c>
    </row>
    <row r="49" spans="2:9" ht="20.100000000000001" customHeight="1" x14ac:dyDescent="0.25">
      <c r="B49" s="53"/>
      <c r="C49" s="9" t="str">
        <f t="shared" si="8"/>
        <v>Mobile Data Mapping / GIS</v>
      </c>
      <c r="D49" s="9">
        <f t="shared" si="9"/>
        <v>0</v>
      </c>
      <c r="E49" s="9">
        <f>COUNTIF('MD Mapping - GIS'!$D:$D,"Important")</f>
        <v>23</v>
      </c>
      <c r="F49" s="9">
        <f>'MD Mapping - GIS'!H12</f>
        <v>23</v>
      </c>
      <c r="G49" s="9">
        <f>'MD Mapping - GIS'!H13</f>
        <v>0</v>
      </c>
      <c r="H49" s="9">
        <f>'MD Mapping - GIS'!H14</f>
        <v>0</v>
      </c>
      <c r="I49" s="54">
        <f>'MD Mapping - GIS'!H15</f>
        <v>0</v>
      </c>
    </row>
    <row r="50" spans="2:9" ht="20.100000000000001" customHeight="1" x14ac:dyDescent="0.25">
      <c r="B50" s="53"/>
      <c r="C50" s="9" t="str">
        <f t="shared" si="8"/>
        <v>Mobile Data Messaging</v>
      </c>
      <c r="D50" s="9">
        <f t="shared" si="9"/>
        <v>0</v>
      </c>
      <c r="E50" s="9">
        <f>COUNTIF('MD Messaging'!$D:$D,"Important")</f>
        <v>14</v>
      </c>
      <c r="F50" s="9">
        <f>'MD Messaging'!H12</f>
        <v>14</v>
      </c>
      <c r="G50" s="9">
        <f>'MD Messaging'!H13</f>
        <v>0</v>
      </c>
      <c r="H50" s="9">
        <f>'MD Messaging'!H14</f>
        <v>0</v>
      </c>
      <c r="I50" s="54">
        <f>'MD Messaging'!H15</f>
        <v>0</v>
      </c>
    </row>
    <row r="51" spans="2:9" ht="20.100000000000001" customHeight="1" x14ac:dyDescent="0.25">
      <c r="B51" s="53"/>
      <c r="C51" s="9" t="str">
        <f t="shared" si="8"/>
        <v>Mobile Data Mobile Application</v>
      </c>
      <c r="D51" s="9">
        <f t="shared" si="9"/>
        <v>0</v>
      </c>
      <c r="E51" s="9">
        <f>COUNTIF('MD Mobile Application'!$D:$D,"Important")</f>
        <v>13</v>
      </c>
      <c r="F51" s="9">
        <f>'MD Mobile Application'!H12</f>
        <v>13</v>
      </c>
      <c r="G51" s="9">
        <f>'MD Mobile Application'!H13</f>
        <v>0</v>
      </c>
      <c r="H51" s="9">
        <f>'MD Mobile Application'!H14</f>
        <v>0</v>
      </c>
      <c r="I51" s="54">
        <f>'MD Mobile Application'!H15</f>
        <v>0</v>
      </c>
    </row>
    <row r="52" spans="2:9" ht="20.100000000000001" customHeight="1" x14ac:dyDescent="0.25">
      <c r="B52" s="53"/>
      <c r="C52" s="9" t="str">
        <f t="shared" si="8"/>
        <v>Mobile Data LE Local / State / NCIC Inquiry</v>
      </c>
      <c r="D52" s="9">
        <f t="shared" si="9"/>
        <v>0</v>
      </c>
      <c r="E52" s="9">
        <f>COUNTIF('MD State - NCIC'!$D:$D,"Important")</f>
        <v>5</v>
      </c>
      <c r="F52" s="9">
        <f>'MD State - NCIC'!H12</f>
        <v>5</v>
      </c>
      <c r="G52" s="9">
        <f>'MD State - NCIC'!H13</f>
        <v>0</v>
      </c>
      <c r="H52" s="9">
        <f>'MD State - NCIC'!H14</f>
        <v>0</v>
      </c>
      <c r="I52" s="54">
        <f>'MD State - NCIC'!H15</f>
        <v>0</v>
      </c>
    </row>
    <row r="53" spans="2:9" ht="3.75" customHeight="1" x14ac:dyDescent="0.25">
      <c r="B53" s="55"/>
      <c r="C53" s="30"/>
      <c r="D53" s="30"/>
      <c r="E53" s="30"/>
      <c r="F53" s="30"/>
      <c r="G53" s="30"/>
      <c r="H53" s="30"/>
      <c r="I53" s="56"/>
    </row>
    <row r="54" spans="2:9" s="6" customFormat="1" ht="59.25" customHeight="1" x14ac:dyDescent="0.25">
      <c r="B54" s="51" t="s">
        <v>4</v>
      </c>
      <c r="C54" s="7" t="s">
        <v>5</v>
      </c>
      <c r="D54" s="7" t="s">
        <v>14</v>
      </c>
      <c r="E54" s="7" t="s">
        <v>29</v>
      </c>
      <c r="F54" s="7" t="s">
        <v>30</v>
      </c>
      <c r="G54" s="7" t="s">
        <v>31</v>
      </c>
      <c r="H54" s="7" t="s">
        <v>32</v>
      </c>
      <c r="I54" s="52" t="s">
        <v>33</v>
      </c>
    </row>
    <row r="55" spans="2:9" ht="20.100000000000001" customHeight="1" x14ac:dyDescent="0.25">
      <c r="B55" s="53" t="str">
        <f>B15</f>
        <v>MOBILE</v>
      </c>
      <c r="C55" s="9"/>
      <c r="D55" s="9">
        <f t="shared" ref="D55:I55" si="10">SUM(D56:D62)</f>
        <v>0</v>
      </c>
      <c r="E55" s="9">
        <f t="shared" si="10"/>
        <v>73</v>
      </c>
      <c r="F55" s="9">
        <f t="shared" si="10"/>
        <v>73</v>
      </c>
      <c r="G55" s="9">
        <f t="shared" si="10"/>
        <v>0</v>
      </c>
      <c r="H55" s="9">
        <f t="shared" si="10"/>
        <v>0</v>
      </c>
      <c r="I55" s="9">
        <f t="shared" si="10"/>
        <v>0</v>
      </c>
    </row>
    <row r="56" spans="2:9" ht="20.100000000000001" customHeight="1" x14ac:dyDescent="0.25">
      <c r="B56" s="53"/>
      <c r="C56" s="9" t="str">
        <f t="shared" ref="C56:C62" si="11">C16</f>
        <v>Mobile Data General Requirements</v>
      </c>
      <c r="D56" s="9">
        <f t="shared" ref="D56:D62" si="12">G56*1</f>
        <v>0</v>
      </c>
      <c r="E56" s="9">
        <f>COUNTIF('MD General Requirements'!$D:$D,"Minimal")</f>
        <v>32</v>
      </c>
      <c r="F56" s="9">
        <f>'MD General Requirements'!H18</f>
        <v>32</v>
      </c>
      <c r="G56" s="9">
        <f>'MD General Requirements'!H19</f>
        <v>0</v>
      </c>
      <c r="H56" s="9">
        <f>'MD General Requirements'!H22</f>
        <v>0</v>
      </c>
      <c r="I56" s="54">
        <f>'MD General Requirements'!H23</f>
        <v>0</v>
      </c>
    </row>
    <row r="57" spans="2:9" ht="20.100000000000001" customHeight="1" x14ac:dyDescent="0.25">
      <c r="B57" s="53"/>
      <c r="C57" s="9" t="str">
        <f t="shared" si="11"/>
        <v>Mobile Data Automatic Vehicle Location (AVL)</v>
      </c>
      <c r="D57" s="9">
        <f t="shared" si="12"/>
        <v>0</v>
      </c>
      <c r="E57" s="9">
        <f>COUNTIF('MD AVL'!$D:$D,"Minimal")</f>
        <v>4</v>
      </c>
      <c r="F57" s="9">
        <f>'MD AVL'!H17</f>
        <v>4</v>
      </c>
      <c r="G57" s="9">
        <f>'MD AVL'!H18</f>
        <v>0</v>
      </c>
      <c r="H57" s="9">
        <f>'MD AVL'!H19</f>
        <v>0</v>
      </c>
      <c r="I57" s="54">
        <f>'MD AVL'!H20</f>
        <v>0</v>
      </c>
    </row>
    <row r="58" spans="2:9" ht="20.100000000000001" customHeight="1" x14ac:dyDescent="0.25">
      <c r="B58" s="53"/>
      <c r="C58" s="9" t="str">
        <f t="shared" si="11"/>
        <v>Mobile Data Field Reporting</v>
      </c>
      <c r="D58" s="9">
        <f t="shared" si="12"/>
        <v>0</v>
      </c>
      <c r="E58" s="9">
        <f>COUNTIF('MD Field Reporting'!$D:$D,"Minimal")</f>
        <v>5</v>
      </c>
      <c r="F58" s="9">
        <f>'MD Field Reporting'!H17</f>
        <v>5</v>
      </c>
      <c r="G58" s="9">
        <f>'MD Field Reporting'!H18</f>
        <v>0</v>
      </c>
      <c r="H58" s="9">
        <f>'MD Field Reporting'!H19</f>
        <v>0</v>
      </c>
      <c r="I58" s="9">
        <f>'MD Field Reporting'!H20</f>
        <v>0</v>
      </c>
    </row>
    <row r="59" spans="2:9" ht="20.100000000000001" customHeight="1" x14ac:dyDescent="0.25">
      <c r="B59" s="53"/>
      <c r="C59" s="9" t="str">
        <f t="shared" si="11"/>
        <v>Mobile Data Mapping / GIS</v>
      </c>
      <c r="D59" s="9">
        <f t="shared" si="12"/>
        <v>0</v>
      </c>
      <c r="E59" s="9">
        <f>COUNTIF('MD Mapping - GIS'!$D:$D,"Minimal")</f>
        <v>14</v>
      </c>
      <c r="F59" s="9">
        <f>'MD Mapping - GIS'!H16</f>
        <v>14</v>
      </c>
      <c r="G59" s="9">
        <f>'MD Mapping - GIS'!H17</f>
        <v>0</v>
      </c>
      <c r="H59" s="9">
        <f>'MD Mapping - GIS'!H18</f>
        <v>0</v>
      </c>
      <c r="I59" s="54">
        <f>'MD Mapping - GIS'!H19</f>
        <v>0</v>
      </c>
    </row>
    <row r="60" spans="2:9" ht="20.100000000000001" customHeight="1" x14ac:dyDescent="0.25">
      <c r="B60" s="53"/>
      <c r="C60" s="9" t="str">
        <f t="shared" si="11"/>
        <v>Mobile Data Messaging</v>
      </c>
      <c r="D60" s="9">
        <f t="shared" si="12"/>
        <v>0</v>
      </c>
      <c r="E60" s="9">
        <f>COUNTIF('MD Messaging'!$D:$D,"Minimal")</f>
        <v>4</v>
      </c>
      <c r="F60" s="9">
        <f>'MD Messaging'!H16</f>
        <v>4</v>
      </c>
      <c r="G60" s="9">
        <f>'MD Messaging'!H17</f>
        <v>0</v>
      </c>
      <c r="H60" s="9">
        <f>'MD Messaging'!H18</f>
        <v>0</v>
      </c>
      <c r="I60" s="54">
        <f>'MD Messaging'!H19</f>
        <v>0</v>
      </c>
    </row>
    <row r="61" spans="2:9" ht="20.100000000000001" customHeight="1" x14ac:dyDescent="0.25">
      <c r="B61" s="53"/>
      <c r="C61" s="9" t="str">
        <f t="shared" si="11"/>
        <v>Mobile Data Mobile Application</v>
      </c>
      <c r="D61" s="9">
        <f t="shared" si="12"/>
        <v>0</v>
      </c>
      <c r="E61" s="9">
        <f>COUNTIF('MD Mobile Application'!$D:$D,"Minimal")</f>
        <v>12</v>
      </c>
      <c r="F61" s="9">
        <f>'MD Mobile Application'!H16</f>
        <v>12</v>
      </c>
      <c r="G61" s="9">
        <f>'MD Mobile Application'!H17</f>
        <v>0</v>
      </c>
      <c r="H61" s="9">
        <f>'MD Mobile Application'!H18</f>
        <v>0</v>
      </c>
      <c r="I61" s="54">
        <f>'MD Mobile Application'!H19</f>
        <v>0</v>
      </c>
    </row>
    <row r="62" spans="2:9" ht="20.100000000000001" customHeight="1" x14ac:dyDescent="0.25">
      <c r="B62" s="53"/>
      <c r="C62" s="9" t="str">
        <f t="shared" si="11"/>
        <v>Mobile Data LE Local / State / NCIC Inquiry</v>
      </c>
      <c r="D62" s="9">
        <f t="shared" si="12"/>
        <v>0</v>
      </c>
      <c r="E62" s="9">
        <f>COUNTIF('MD State - NCIC'!$D:$D,"Minimal")</f>
        <v>2</v>
      </c>
      <c r="F62" s="9">
        <f>'MD State - NCIC'!H16</f>
        <v>2</v>
      </c>
      <c r="G62" s="9">
        <f>'MD State - NCIC'!H17</f>
        <v>0</v>
      </c>
      <c r="H62" s="9">
        <f>'MD State - NCIC'!H18</f>
        <v>0</v>
      </c>
      <c r="I62" s="54">
        <f>'MD State - NCIC'!H19</f>
        <v>0</v>
      </c>
    </row>
    <row r="63" spans="2:9" ht="3.75" customHeight="1" thickBot="1" x14ac:dyDescent="0.3">
      <c r="B63" s="264"/>
      <c r="C63" s="265"/>
      <c r="D63" s="265"/>
      <c r="E63" s="265"/>
      <c r="F63" s="265"/>
      <c r="G63" s="265"/>
      <c r="H63" s="265"/>
      <c r="I63" s="266"/>
    </row>
    <row r="64" spans="2:9" ht="14.25" hidden="1" customHeight="1" x14ac:dyDescent="0.25"/>
    <row r="65" x14ac:dyDescent="0.25"/>
    <row r="66" x14ac:dyDescent="0.25"/>
    <row r="67" x14ac:dyDescent="0.25"/>
    <row r="68" x14ac:dyDescent="0.25"/>
    <row r="69" x14ac:dyDescent="0.25"/>
  </sheetData>
  <mergeCells count="2">
    <mergeCell ref="B63:I63"/>
    <mergeCell ref="B2:I2"/>
  </mergeCells>
  <pageMargins left="0.7" right="0.7" top="0.75" bottom="0.75" header="0.3" footer="0.3"/>
  <pageSetup scale="45" fitToHeight="0" orientation="portrait" r:id="rId1"/>
  <headerFooter>
    <oddHeader>&amp;C
&amp;F&amp;R&amp;A</oddHeader>
    <oddFooter>&amp;LTSSI Consulting LLC, February 2026&amp;CPage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M16"/>
  <sheetViews>
    <sheetView showGridLines="0" zoomScaleNormal="100" zoomScalePageLayoutView="40" workbookViewId="0">
      <selection activeCell="F11" sqref="F11:L11"/>
    </sheetView>
  </sheetViews>
  <sheetFormatPr defaultColWidth="0" defaultRowHeight="15" zeroHeight="1" x14ac:dyDescent="0.25"/>
  <cols>
    <col min="1" max="1" width="1.85546875" customWidth="1"/>
    <col min="2" max="2" width="25.42578125" customWidth="1"/>
    <col min="3" max="3" width="9.140625" customWidth="1"/>
    <col min="4" max="5" width="3.7109375" customWidth="1"/>
    <col min="6" max="6" width="38" customWidth="1"/>
    <col min="7" max="7" width="8.7109375" style="5" customWidth="1"/>
    <col min="8" max="12" width="11.140625" style="5" customWidth="1"/>
    <col min="13" max="13" width="9.140625" customWidth="1"/>
    <col min="14" max="16384" width="9.140625" hidden="1"/>
  </cols>
  <sheetData>
    <row r="1" spans="2:12" ht="44.25" customHeight="1" x14ac:dyDescent="0.25">
      <c r="B1" s="270" t="s">
        <v>34</v>
      </c>
      <c r="C1" s="270"/>
      <c r="D1" s="11"/>
      <c r="F1" s="4" t="s">
        <v>35</v>
      </c>
      <c r="G1" s="4" t="s">
        <v>36</v>
      </c>
      <c r="H1" s="4" t="s">
        <v>37</v>
      </c>
      <c r="I1" s="4" t="s">
        <v>8</v>
      </c>
      <c r="J1" s="4" t="s">
        <v>15</v>
      </c>
      <c r="K1" s="4" t="s">
        <v>16</v>
      </c>
      <c r="L1" s="4" t="s">
        <v>17</v>
      </c>
    </row>
    <row r="2" spans="2:12" x14ac:dyDescent="0.25">
      <c r="B2" s="24"/>
      <c r="C2" s="25"/>
      <c r="D2" s="12"/>
      <c r="F2" s="35" t="s">
        <v>38</v>
      </c>
      <c r="G2" s="33">
        <f>COUNTA(F4:F15)</f>
        <v>7</v>
      </c>
      <c r="H2" s="33">
        <f>SUM(H4:H19)</f>
        <v>423</v>
      </c>
      <c r="I2" s="33">
        <f>SUM(I4:I19)</f>
        <v>423</v>
      </c>
      <c r="J2" s="33">
        <f>SUM(J4:J19)</f>
        <v>0</v>
      </c>
      <c r="K2" s="33">
        <f>SUM(K4:K19)</f>
        <v>0</v>
      </c>
      <c r="L2" s="33">
        <f>SUM(L4:L19)</f>
        <v>0</v>
      </c>
    </row>
    <row r="3" spans="2:12" ht="15.75" thickBot="1" x14ac:dyDescent="0.3">
      <c r="B3" s="13" t="s">
        <v>39</v>
      </c>
      <c r="C3" s="10" t="s">
        <v>40</v>
      </c>
      <c r="D3" s="14"/>
    </row>
    <row r="4" spans="2:12" x14ac:dyDescent="0.25">
      <c r="B4" s="15" t="s">
        <v>9</v>
      </c>
      <c r="C4" s="1">
        <v>3</v>
      </c>
      <c r="D4" s="16"/>
      <c r="F4" s="35" t="str">
        <f>'MD General Requirements'!B3</f>
        <v>Mobile Data General Requirements</v>
      </c>
      <c r="G4" s="33"/>
      <c r="H4" s="33">
        <f>'MD General Requirements'!H3</f>
        <v>185</v>
      </c>
      <c r="I4" s="33">
        <f>'MD General Requirements'!H5</f>
        <v>185</v>
      </c>
      <c r="J4" s="33">
        <f>'MD General Requirements'!H6</f>
        <v>0</v>
      </c>
      <c r="K4" s="33">
        <f>'MD General Requirements'!H7</f>
        <v>0</v>
      </c>
      <c r="L4" s="33">
        <f>'MD General Requirements'!H9</f>
        <v>0</v>
      </c>
    </row>
    <row r="5" spans="2:12" x14ac:dyDescent="0.25">
      <c r="B5" s="17" t="s">
        <v>10</v>
      </c>
      <c r="C5" s="2">
        <v>2</v>
      </c>
      <c r="D5" s="16"/>
      <c r="F5" s="35" t="str">
        <f>'MD AVL'!B3</f>
        <v>Mobile Data Automatic Vehicle Location (AVL)</v>
      </c>
      <c r="G5" s="33"/>
      <c r="H5" s="33">
        <f>'MD AVL'!H3</f>
        <v>16</v>
      </c>
      <c r="I5" s="33">
        <f>'MD AVL'!H4</f>
        <v>16</v>
      </c>
      <c r="J5" s="33">
        <f>'MD AVL'!H5</f>
        <v>0</v>
      </c>
      <c r="K5" s="33">
        <f>'MD AVL'!H6</f>
        <v>0</v>
      </c>
      <c r="L5" s="33">
        <f>'MD AVL'!H7</f>
        <v>0</v>
      </c>
    </row>
    <row r="6" spans="2:12" x14ac:dyDescent="0.25">
      <c r="B6" s="17" t="s">
        <v>11</v>
      </c>
      <c r="C6" s="2">
        <v>1</v>
      </c>
      <c r="D6" s="16"/>
      <c r="F6" s="35" t="str">
        <f>'MD Field Reporting'!B3</f>
        <v>Mobile Data Field Reporting</v>
      </c>
      <c r="G6" s="33"/>
      <c r="H6" s="33">
        <f>'MD Field Reporting'!H3</f>
        <v>47</v>
      </c>
      <c r="I6" s="33">
        <f>'MD Field Reporting'!H4</f>
        <v>47</v>
      </c>
      <c r="J6" s="33">
        <f>'MD Field Reporting'!H5</f>
        <v>0</v>
      </c>
      <c r="K6" s="33">
        <f>'MD Field Reporting'!H6</f>
        <v>0</v>
      </c>
      <c r="L6" s="33">
        <f>'MD Field Reporting'!H7</f>
        <v>0</v>
      </c>
    </row>
    <row r="7" spans="2:12" ht="15.75" thickBot="1" x14ac:dyDescent="0.3">
      <c r="B7" s="18" t="s">
        <v>41</v>
      </c>
      <c r="C7" s="3">
        <v>0</v>
      </c>
      <c r="D7" s="16"/>
      <c r="F7" s="35" t="str">
        <f>'MD Mapping - GIS'!B3</f>
        <v>Mobile Data Mapping / GIS</v>
      </c>
      <c r="G7" s="33"/>
      <c r="H7" s="33">
        <f>'MD Mapping - GIS'!H3</f>
        <v>82</v>
      </c>
      <c r="I7" s="33">
        <f>'MD Mapping - GIS'!H4</f>
        <v>82</v>
      </c>
      <c r="J7" s="33">
        <f>'MD Mapping - GIS'!H5</f>
        <v>0</v>
      </c>
      <c r="K7" s="33">
        <f>'MD Mapping - GIS'!H6</f>
        <v>0</v>
      </c>
      <c r="L7" s="33">
        <f>'MD Mapping - GIS'!H7</f>
        <v>0</v>
      </c>
    </row>
    <row r="8" spans="2:12" x14ac:dyDescent="0.25">
      <c r="B8" s="19"/>
      <c r="D8" s="20"/>
      <c r="F8" s="35" t="str">
        <f>'MD Messaging'!B3</f>
        <v>Mobile Data Messaging</v>
      </c>
      <c r="G8" s="33"/>
      <c r="H8" s="33">
        <f>'MD Messaging'!H3</f>
        <v>25</v>
      </c>
      <c r="I8" s="33">
        <f>'MD Messaging'!H4</f>
        <v>25</v>
      </c>
      <c r="J8" s="33">
        <f>'MD Messaging'!H5</f>
        <v>0</v>
      </c>
      <c r="K8" s="33">
        <f>'MD Messaging'!H6</f>
        <v>0</v>
      </c>
      <c r="L8" s="33">
        <f>'MD Messaging'!H7</f>
        <v>0</v>
      </c>
    </row>
    <row r="9" spans="2:12" x14ac:dyDescent="0.25">
      <c r="B9" s="19"/>
      <c r="D9" s="20"/>
      <c r="F9" s="32" t="str">
        <f>'MD Mobile Application'!B3</f>
        <v>Mobile Data Mobile Application</v>
      </c>
      <c r="G9" s="34"/>
      <c r="H9" s="34">
        <f>'MD Mobile Application'!H3</f>
        <v>49</v>
      </c>
      <c r="I9" s="34">
        <f>'MD Mobile Application'!H4</f>
        <v>49</v>
      </c>
      <c r="J9" s="34">
        <f>'MD Mobile Application'!H5</f>
        <v>0</v>
      </c>
      <c r="K9" s="34">
        <f>'MD Mobile Application'!H6</f>
        <v>0</v>
      </c>
      <c r="L9" s="34">
        <f>'MD Mobile Application'!H7</f>
        <v>0</v>
      </c>
    </row>
    <row r="10" spans="2:12" ht="15.75" thickBot="1" x14ac:dyDescent="0.3">
      <c r="B10" s="13" t="s">
        <v>42</v>
      </c>
      <c r="C10" s="10" t="s">
        <v>40</v>
      </c>
      <c r="D10" s="14"/>
      <c r="F10" s="35" t="str">
        <f>'MD State - NCIC'!B3</f>
        <v>Mobile Data LE Local / State / NCIC Inquiry</v>
      </c>
      <c r="G10" s="33"/>
      <c r="H10" s="33">
        <f>'MD State - NCIC'!H3</f>
        <v>19</v>
      </c>
      <c r="I10" s="33">
        <f>'MD State - NCIC'!H4</f>
        <v>19</v>
      </c>
      <c r="J10" s="33">
        <f>'MD State - NCIC'!H5</f>
        <v>0</v>
      </c>
      <c r="K10" s="33">
        <f>'MD State - NCIC'!H6</f>
        <v>0</v>
      </c>
      <c r="L10" s="33">
        <f>'MD State - NCIC'!H7</f>
        <v>0</v>
      </c>
    </row>
    <row r="11" spans="2:12" x14ac:dyDescent="0.25">
      <c r="B11" s="15" t="s">
        <v>43</v>
      </c>
      <c r="C11" s="1">
        <v>0</v>
      </c>
      <c r="D11" s="16"/>
    </row>
    <row r="12" spans="2:12" x14ac:dyDescent="0.25">
      <c r="B12" s="17" t="s">
        <v>15</v>
      </c>
      <c r="C12" s="2">
        <v>1</v>
      </c>
      <c r="D12" s="16"/>
    </row>
    <row r="13" spans="2:12" x14ac:dyDescent="0.25">
      <c r="B13" s="17" t="s">
        <v>16</v>
      </c>
      <c r="C13" s="2">
        <v>0</v>
      </c>
      <c r="D13" s="16"/>
    </row>
    <row r="14" spans="2:12" ht="15.75" thickBot="1" x14ac:dyDescent="0.3">
      <c r="B14" s="18" t="s">
        <v>17</v>
      </c>
      <c r="C14" s="3">
        <v>0</v>
      </c>
      <c r="D14" s="16"/>
    </row>
    <row r="15" spans="2:12" x14ac:dyDescent="0.25">
      <c r="B15" s="21"/>
      <c r="C15" s="22"/>
      <c r="D15" s="23"/>
    </row>
    <row r="16" spans="2:12" ht="9" customHeight="1" x14ac:dyDescent="0.25"/>
  </sheetData>
  <mergeCells count="1">
    <mergeCell ref="B1:C1"/>
  </mergeCells>
  <pageMargins left="0.7" right="0.7" top="0.75" bottom="0.75" header="0.3" footer="0.3"/>
  <pageSetup scale="45" fitToHeight="0" orientation="portrait" r:id="rId1"/>
  <headerFooter>
    <oddHeader>&amp;C
&amp;F&amp;R&amp;A</oddHeader>
    <oddFooter>&amp;LTSSI Consulting LLC, February 2026&amp;CPage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204"/>
  <sheetViews>
    <sheetView showGridLines="0" tabSelected="1" zoomScale="80" zoomScaleNormal="80" zoomScalePageLayoutView="40" workbookViewId="0">
      <selection activeCell="F5" sqref="F5"/>
    </sheetView>
  </sheetViews>
  <sheetFormatPr defaultColWidth="0" defaultRowHeight="15" zeroHeight="1" x14ac:dyDescent="0.25"/>
  <cols>
    <col min="1" max="1" width="0.85546875" customWidth="1"/>
    <col min="2" max="2" width="11.7109375" customWidth="1"/>
    <col min="3" max="3" width="11.42578125" customWidth="1"/>
    <col min="4" max="4" width="23.85546875" customWidth="1"/>
    <col min="5" max="5" width="65.7109375" customWidth="1"/>
    <col min="6" max="6" width="29.42578125" customWidth="1"/>
    <col min="7" max="7" width="15.42578125" style="77" hidden="1" customWidth="1"/>
    <col min="8" max="11" width="12.7109375" hidden="1" customWidth="1"/>
    <col min="12" max="12" width="55.42578125" customWidth="1"/>
    <col min="13" max="13" width="2.42578125" customWidth="1"/>
    <col min="14" max="16384" width="9.140625" hidden="1"/>
  </cols>
  <sheetData>
    <row r="1" spans="2:13" ht="6" customHeight="1" thickBot="1" x14ac:dyDescent="0.3"/>
    <row r="2" spans="2:13" s="78" customFormat="1" ht="129" customHeight="1" thickBot="1" x14ac:dyDescent="0.25">
      <c r="B2" s="79" t="s">
        <v>44</v>
      </c>
      <c r="C2" s="79" t="s">
        <v>45</v>
      </c>
      <c r="D2" s="79" t="s">
        <v>46</v>
      </c>
      <c r="E2" s="79" t="s">
        <v>47</v>
      </c>
      <c r="F2" s="79" t="s">
        <v>42</v>
      </c>
      <c r="G2" s="80" t="s">
        <v>48</v>
      </c>
      <c r="H2" s="80" t="s">
        <v>49</v>
      </c>
      <c r="I2" s="81" t="s">
        <v>50</v>
      </c>
      <c r="J2" s="81" t="s">
        <v>51</v>
      </c>
      <c r="K2" s="82" t="s">
        <v>14</v>
      </c>
      <c r="L2" s="83" t="s">
        <v>52</v>
      </c>
    </row>
    <row r="3" spans="2:13" ht="16.5" thickBot="1" x14ac:dyDescent="0.3">
      <c r="B3" s="84" t="s">
        <v>53</v>
      </c>
      <c r="C3" s="85"/>
      <c r="D3" s="85"/>
      <c r="E3" s="85"/>
      <c r="F3" s="85"/>
      <c r="G3" s="86" t="s">
        <v>54</v>
      </c>
      <c r="H3" s="87">
        <f>COUNTA(D5:D498)</f>
        <v>185</v>
      </c>
      <c r="I3" s="88"/>
      <c r="J3" s="89" t="s">
        <v>55</v>
      </c>
      <c r="K3" s="90">
        <f>SUM(K5:K498)</f>
        <v>0</v>
      </c>
      <c r="L3" s="91"/>
      <c r="M3" s="92"/>
    </row>
    <row r="4" spans="2:13" s="93" customFormat="1" ht="15.75" x14ac:dyDescent="0.25">
      <c r="B4" s="94" t="s">
        <v>56</v>
      </c>
      <c r="C4" s="95"/>
      <c r="D4" s="95"/>
      <c r="E4" s="95"/>
      <c r="F4" s="95"/>
      <c r="G4" s="95"/>
      <c r="H4" s="95"/>
      <c r="I4" s="95"/>
      <c r="J4" s="95"/>
      <c r="K4" s="95"/>
      <c r="L4" s="96"/>
      <c r="M4"/>
    </row>
    <row r="5" spans="2:13" ht="57" x14ac:dyDescent="0.25">
      <c r="B5" s="97" t="s">
        <v>57</v>
      </c>
      <c r="C5" s="98">
        <v>1</v>
      </c>
      <c r="D5" s="99" t="s">
        <v>10</v>
      </c>
      <c r="E5" s="100" t="s">
        <v>58</v>
      </c>
      <c r="F5" s="196" t="s">
        <v>43</v>
      </c>
      <c r="G5" s="197" t="s">
        <v>59</v>
      </c>
      <c r="H5" s="198">
        <f>COUNTIF(F5:F498,"Select from Drop Down")</f>
        <v>185</v>
      </c>
      <c r="I5" s="199">
        <f>VLOOKUP($D5,SpecData,2,FALSE)</f>
        <v>2</v>
      </c>
      <c r="J5" s="200">
        <f>VLOOKUP($F5,AvailabilityData,2,FALSE)</f>
        <v>0</v>
      </c>
      <c r="K5" s="201">
        <f>I5*J5</f>
        <v>0</v>
      </c>
      <c r="L5" s="36"/>
    </row>
    <row r="6" spans="2:13" ht="33.75" customHeight="1" x14ac:dyDescent="0.25">
      <c r="B6" s="97" t="str">
        <f>IF(C6="","",$B$5)</f>
        <v>MGen</v>
      </c>
      <c r="C6" s="98">
        <v>2</v>
      </c>
      <c r="D6" s="99" t="s">
        <v>41</v>
      </c>
      <c r="E6" s="108" t="s">
        <v>60</v>
      </c>
      <c r="F6" s="109" t="s">
        <v>43</v>
      </c>
      <c r="G6" s="102" t="s">
        <v>61</v>
      </c>
      <c r="H6" s="103">
        <f>COUNTIF(F5:F498,"Function Available")</f>
        <v>0</v>
      </c>
      <c r="I6" s="104">
        <f>VLOOKUP($D6,SpecData,2,FALSE)</f>
        <v>0</v>
      </c>
      <c r="J6" s="105">
        <f>VLOOKUP($F6,AvailabilityData,2,FALSE)</f>
        <v>0</v>
      </c>
      <c r="K6" s="106">
        <f>I6*J6</f>
        <v>0</v>
      </c>
      <c r="L6" s="107"/>
    </row>
    <row r="7" spans="2:13" ht="30" customHeight="1" x14ac:dyDescent="0.25">
      <c r="B7" s="110" t="str">
        <f t="shared" ref="B7:B53" si="0">IF(C7="","",$B$5)</f>
        <v>MGen</v>
      </c>
      <c r="C7" s="111">
        <f>IF(ISTEXT(D7),MAX($C$6:$C6)+1,"")</f>
        <v>3</v>
      </c>
      <c r="D7" s="112" t="s">
        <v>10</v>
      </c>
      <c r="E7" s="108" t="s">
        <v>62</v>
      </c>
      <c r="F7" s="202" t="s">
        <v>43</v>
      </c>
      <c r="G7" s="203" t="s">
        <v>63</v>
      </c>
      <c r="H7" s="204">
        <f>COUNTIF(F5:F498,"Function Not Available")</f>
        <v>0</v>
      </c>
      <c r="I7" s="205">
        <f t="shared" ref="I7:I15" si="1">VLOOKUP($D7,SpecData,2,FALSE)</f>
        <v>2</v>
      </c>
      <c r="J7" s="206">
        <f t="shared" ref="J7:J15" si="2">VLOOKUP($F7,AvailabilityData,2,FALSE)</f>
        <v>0</v>
      </c>
      <c r="K7" s="207">
        <f t="shared" ref="K7:K15" si="3">I7*J7</f>
        <v>0</v>
      </c>
      <c r="L7" s="37"/>
      <c r="M7" s="92"/>
    </row>
    <row r="8" spans="2:13" s="93" customFormat="1" ht="15.75" x14ac:dyDescent="0.25">
      <c r="B8" s="94" t="s">
        <v>64</v>
      </c>
      <c r="C8" s="95"/>
      <c r="D8" s="95"/>
      <c r="E8" s="95"/>
      <c r="F8" s="95"/>
      <c r="G8" s="95"/>
      <c r="H8" s="95"/>
      <c r="I8" s="95"/>
      <c r="J8" s="95"/>
      <c r="K8" s="95"/>
      <c r="L8" s="113"/>
      <c r="M8" s="92"/>
    </row>
    <row r="9" spans="2:13" ht="42" customHeight="1" x14ac:dyDescent="0.25">
      <c r="B9" s="97" t="str">
        <f t="shared" si="0"/>
        <v>MGen</v>
      </c>
      <c r="C9" s="98">
        <f>IF(ISTEXT(D9),MAX($C$6:$C7)+1,"")</f>
        <v>4</v>
      </c>
      <c r="D9" s="99" t="s">
        <v>9</v>
      </c>
      <c r="E9" s="100" t="s">
        <v>511</v>
      </c>
      <c r="F9" s="196" t="s">
        <v>43</v>
      </c>
      <c r="G9" s="197" t="s">
        <v>65</v>
      </c>
      <c r="H9" s="208">
        <f>COUNTIF(F5:F498,"Exception")</f>
        <v>0</v>
      </c>
      <c r="I9" s="199">
        <f t="shared" si="1"/>
        <v>3</v>
      </c>
      <c r="J9" s="200">
        <f t="shared" si="2"/>
        <v>0</v>
      </c>
      <c r="K9" s="201">
        <f t="shared" si="3"/>
        <v>0</v>
      </c>
      <c r="L9" s="36"/>
    </row>
    <row r="10" spans="2:13" ht="30" customHeight="1" x14ac:dyDescent="0.25">
      <c r="B10" s="97" t="str">
        <f t="shared" si="0"/>
        <v>MGen</v>
      </c>
      <c r="C10" s="98">
        <f>IF(ISTEXT(D10),MAX($C$6:$C9)+1,"")</f>
        <v>5</v>
      </c>
      <c r="D10" s="99" t="s">
        <v>10</v>
      </c>
      <c r="E10" s="100" t="s">
        <v>510</v>
      </c>
      <c r="F10" s="196" t="s">
        <v>43</v>
      </c>
      <c r="G10" s="197" t="s">
        <v>66</v>
      </c>
      <c r="H10" s="209">
        <f>COUNTIFS(D:D,"=Crucial",F:F,"=Select From Drop Down")</f>
        <v>86</v>
      </c>
      <c r="I10" s="199">
        <f>VLOOKUP($D10,SpecData,2,FALSE)</f>
        <v>2</v>
      </c>
      <c r="J10" s="200">
        <f>VLOOKUP($F10,AvailabilityData,2,FALSE)</f>
        <v>0</v>
      </c>
      <c r="K10" s="201">
        <f>I10*J10</f>
        <v>0</v>
      </c>
      <c r="L10" s="36"/>
    </row>
    <row r="11" spans="2:13" ht="30" customHeight="1" x14ac:dyDescent="0.25">
      <c r="B11" s="97" t="str">
        <f t="shared" si="0"/>
        <v>MGen</v>
      </c>
      <c r="C11" s="98">
        <f>IF(ISTEXT(D11),MAX($C$6:$C10)+1,"")</f>
        <v>6</v>
      </c>
      <c r="D11" s="99" t="s">
        <v>9</v>
      </c>
      <c r="E11" s="108" t="s">
        <v>380</v>
      </c>
      <c r="F11" s="202" t="s">
        <v>43</v>
      </c>
      <c r="G11" s="197" t="s">
        <v>67</v>
      </c>
      <c r="H11" s="198">
        <f>COUNTIFS(D:D,"=Crucial",F:F,"=Function Available")</f>
        <v>0</v>
      </c>
      <c r="I11" s="199">
        <f t="shared" si="1"/>
        <v>3</v>
      </c>
      <c r="J11" s="200">
        <f t="shared" si="2"/>
        <v>0</v>
      </c>
      <c r="K11" s="210">
        <f t="shared" si="3"/>
        <v>0</v>
      </c>
      <c r="L11" s="36"/>
    </row>
    <row r="12" spans="2:13" ht="45" customHeight="1" x14ac:dyDescent="0.25">
      <c r="B12" s="97" t="str">
        <f t="shared" si="0"/>
        <v>MGen</v>
      </c>
      <c r="C12" s="98">
        <f>IF(ISTEXT(D12),MAX($C$6:$C11)+1,"")</f>
        <v>7</v>
      </c>
      <c r="D12" s="99" t="s">
        <v>9</v>
      </c>
      <c r="E12" s="108" t="s">
        <v>378</v>
      </c>
      <c r="F12" s="202" t="s">
        <v>43</v>
      </c>
      <c r="G12" s="197" t="s">
        <v>69</v>
      </c>
      <c r="H12" s="198">
        <f>COUNTIFS(D:D,"=Crucial",F:F,"=Function Not Available")</f>
        <v>0</v>
      </c>
      <c r="I12" s="199">
        <f t="shared" si="1"/>
        <v>3</v>
      </c>
      <c r="J12" s="200">
        <f t="shared" si="2"/>
        <v>0</v>
      </c>
      <c r="K12" s="210">
        <f t="shared" si="3"/>
        <v>0</v>
      </c>
      <c r="L12" s="36"/>
    </row>
    <row r="13" spans="2:13" ht="30" customHeight="1" x14ac:dyDescent="0.25">
      <c r="B13" s="97" t="str">
        <f t="shared" si="0"/>
        <v>MGen</v>
      </c>
      <c r="C13" s="98">
        <f>IF(ISTEXT(D13),MAX($C$6:$C12)+1,"")</f>
        <v>8</v>
      </c>
      <c r="D13" s="99" t="s">
        <v>10</v>
      </c>
      <c r="E13" s="108" t="s">
        <v>68</v>
      </c>
      <c r="F13" s="196" t="s">
        <v>43</v>
      </c>
      <c r="G13" s="197" t="s">
        <v>71</v>
      </c>
      <c r="H13" s="198">
        <f>COUNTIFS(D:D,"=Crucial",F:F,"=Exception")</f>
        <v>0</v>
      </c>
      <c r="I13" s="199">
        <f t="shared" si="1"/>
        <v>2</v>
      </c>
      <c r="J13" s="200">
        <f t="shared" si="2"/>
        <v>0</v>
      </c>
      <c r="K13" s="210">
        <f t="shared" si="3"/>
        <v>0</v>
      </c>
      <c r="L13" s="36"/>
    </row>
    <row r="14" spans="2:13" ht="30" customHeight="1" x14ac:dyDescent="0.25">
      <c r="B14" s="97" t="str">
        <f t="shared" si="0"/>
        <v>MGen</v>
      </c>
      <c r="C14" s="98">
        <f>IF(ISTEXT(D14),MAX($C$6:$C13)+1,"")</f>
        <v>9</v>
      </c>
      <c r="D14" s="99" t="s">
        <v>10</v>
      </c>
      <c r="E14" s="108" t="s">
        <v>70</v>
      </c>
      <c r="F14" s="202" t="s">
        <v>43</v>
      </c>
      <c r="G14" s="197" t="s">
        <v>72</v>
      </c>
      <c r="H14" s="198">
        <f>COUNTIFS(D:D,"=Important",F:F,"=Select From Drop Down")</f>
        <v>61</v>
      </c>
      <c r="I14" s="205">
        <f t="shared" si="1"/>
        <v>2</v>
      </c>
      <c r="J14" s="206">
        <f t="shared" si="2"/>
        <v>0</v>
      </c>
      <c r="K14" s="207">
        <f t="shared" si="3"/>
        <v>0</v>
      </c>
      <c r="L14" s="38"/>
    </row>
    <row r="15" spans="2:13" ht="30" customHeight="1" x14ac:dyDescent="0.25">
      <c r="B15" s="97" t="str">
        <f t="shared" si="0"/>
        <v>MGen</v>
      </c>
      <c r="C15" s="98">
        <f>IF(ISTEXT(D15),MAX($C$6:$C14)+1,"")</f>
        <v>10</v>
      </c>
      <c r="D15" s="99" t="s">
        <v>9</v>
      </c>
      <c r="E15" s="108" t="s">
        <v>381</v>
      </c>
      <c r="F15" s="202" t="s">
        <v>43</v>
      </c>
      <c r="G15" s="197" t="s">
        <v>74</v>
      </c>
      <c r="H15" s="198">
        <f>COUNTIFS(D:D,"=Important",F:F,"=Function Available")</f>
        <v>0</v>
      </c>
      <c r="I15" s="211">
        <f t="shared" si="1"/>
        <v>3</v>
      </c>
      <c r="J15" s="212">
        <f t="shared" si="2"/>
        <v>0</v>
      </c>
      <c r="K15" s="213">
        <f t="shared" si="3"/>
        <v>0</v>
      </c>
      <c r="L15" s="36"/>
    </row>
    <row r="16" spans="2:13" ht="30" customHeight="1" x14ac:dyDescent="0.25">
      <c r="B16" s="97" t="str">
        <f t="shared" si="0"/>
        <v>MGen</v>
      </c>
      <c r="C16" s="98">
        <f>IF(ISTEXT(D16),MAX($C$6:$C15)+1,"")</f>
        <v>11</v>
      </c>
      <c r="D16" s="99" t="s">
        <v>9</v>
      </c>
      <c r="E16" s="108" t="s">
        <v>73</v>
      </c>
      <c r="F16" s="196" t="s">
        <v>43</v>
      </c>
      <c r="G16" s="197" t="s">
        <v>76</v>
      </c>
      <c r="H16" s="198">
        <f>COUNTIFS(D:D,"=Important",F:F,"=Function Not Available")</f>
        <v>0</v>
      </c>
      <c r="I16" s="199">
        <f t="shared" ref="I16:I29" si="4">VLOOKUP($D16,SpecData,2,FALSE)</f>
        <v>3</v>
      </c>
      <c r="J16" s="200">
        <f t="shared" ref="J16:J29" si="5">VLOOKUP($F16,AvailabilityData,2,FALSE)</f>
        <v>0</v>
      </c>
      <c r="K16" s="201">
        <f t="shared" ref="K16:K37" si="6">I16*J16</f>
        <v>0</v>
      </c>
      <c r="L16" s="36"/>
    </row>
    <row r="17" spans="2:13" ht="45.75" customHeight="1" x14ac:dyDescent="0.25">
      <c r="B17" s="97" t="str">
        <f t="shared" si="0"/>
        <v>MGen</v>
      </c>
      <c r="C17" s="98">
        <f>IF(ISTEXT(D17),MAX($C$6:$C16)+1,"")</f>
        <v>12</v>
      </c>
      <c r="D17" s="99" t="s">
        <v>10</v>
      </c>
      <c r="E17" s="108" t="s">
        <v>75</v>
      </c>
      <c r="F17" s="202" t="s">
        <v>43</v>
      </c>
      <c r="G17" s="197" t="s">
        <v>77</v>
      </c>
      <c r="H17" s="198">
        <f>COUNTIFS(D:D,"=Important",F:F,"=Exception")</f>
        <v>0</v>
      </c>
      <c r="I17" s="214">
        <f t="shared" si="4"/>
        <v>2</v>
      </c>
      <c r="J17" s="215">
        <f t="shared" si="5"/>
        <v>0</v>
      </c>
      <c r="K17" s="210">
        <f t="shared" si="6"/>
        <v>0</v>
      </c>
      <c r="L17" s="38"/>
    </row>
    <row r="18" spans="2:13" ht="30" customHeight="1" x14ac:dyDescent="0.25">
      <c r="B18" s="97" t="str">
        <f t="shared" si="0"/>
        <v>MGen</v>
      </c>
      <c r="C18" s="98">
        <f>IF(ISTEXT(D18),MAX($C$6:$C17)+1,"")</f>
        <v>13</v>
      </c>
      <c r="D18" s="99" t="s">
        <v>11</v>
      </c>
      <c r="E18" s="108" t="s">
        <v>512</v>
      </c>
      <c r="F18" s="202" t="s">
        <v>43</v>
      </c>
      <c r="G18" s="197" t="s">
        <v>79</v>
      </c>
      <c r="H18" s="198">
        <f>COUNTIFS(D:D,"=Minimal",F:F,"=Select From Drop Down")</f>
        <v>32</v>
      </c>
      <c r="I18" s="214">
        <f t="shared" si="4"/>
        <v>1</v>
      </c>
      <c r="J18" s="215">
        <f t="shared" si="5"/>
        <v>0</v>
      </c>
      <c r="K18" s="210">
        <f t="shared" si="6"/>
        <v>0</v>
      </c>
      <c r="L18" s="36"/>
    </row>
    <row r="19" spans="2:13" ht="30" customHeight="1" x14ac:dyDescent="0.25">
      <c r="B19" s="110" t="str">
        <f t="shared" si="0"/>
        <v>MGen</v>
      </c>
      <c r="C19" s="111">
        <f>IF(ISTEXT(D19),MAX($C$6:$C18)+1,"")</f>
        <v>14</v>
      </c>
      <c r="D19" s="99" t="s">
        <v>10</v>
      </c>
      <c r="E19" s="108" t="s">
        <v>78</v>
      </c>
      <c r="F19" s="196" t="s">
        <v>43</v>
      </c>
      <c r="G19" s="197" t="s">
        <v>82</v>
      </c>
      <c r="H19" s="198">
        <f>COUNTIFS(D:D,"=Minimal",F:F,"=Function Available")</f>
        <v>0</v>
      </c>
      <c r="I19" s="216">
        <f t="shared" si="4"/>
        <v>2</v>
      </c>
      <c r="J19" s="217">
        <f t="shared" si="5"/>
        <v>0</v>
      </c>
      <c r="K19" s="207">
        <f t="shared" si="6"/>
        <v>0</v>
      </c>
      <c r="L19" s="37"/>
      <c r="M19" s="92"/>
    </row>
    <row r="20" spans="2:13" s="93" customFormat="1" ht="15.75" x14ac:dyDescent="0.25">
      <c r="B20" s="94" t="s">
        <v>80</v>
      </c>
      <c r="C20" s="95"/>
      <c r="D20" s="95"/>
      <c r="E20" s="95"/>
      <c r="F20" s="95"/>
      <c r="G20" s="95"/>
      <c r="H20" s="95"/>
      <c r="I20" s="95"/>
      <c r="J20" s="95"/>
      <c r="K20" s="95"/>
      <c r="L20" s="119"/>
      <c r="M20"/>
    </row>
    <row r="21" spans="2:13" ht="30" customHeight="1" x14ac:dyDescent="0.25">
      <c r="B21" s="120" t="str">
        <f t="shared" ref="B21" si="7">IF(C21="","",$B$5)</f>
        <v/>
      </c>
      <c r="C21" s="121" t="str">
        <f>IF(ISTEXT(D21),MAX($C$6:$C20)+1,"")</f>
        <v/>
      </c>
      <c r="D21" s="121"/>
      <c r="E21" s="122" t="s">
        <v>431</v>
      </c>
      <c r="F21" s="123"/>
      <c r="G21" s="123"/>
      <c r="H21" s="123"/>
      <c r="I21" s="123"/>
      <c r="J21" s="123"/>
      <c r="K21" s="123"/>
      <c r="L21" s="119"/>
    </row>
    <row r="22" spans="2:13" ht="30" customHeight="1" x14ac:dyDescent="0.25">
      <c r="B22" s="97" t="str">
        <f t="shared" si="0"/>
        <v>MGen</v>
      </c>
      <c r="C22" s="98">
        <f>IF(ISTEXT(D22),MAX($C$6:$C19)+1,"")</f>
        <v>15</v>
      </c>
      <c r="D22" s="99" t="s">
        <v>10</v>
      </c>
      <c r="E22" s="124" t="s">
        <v>81</v>
      </c>
      <c r="F22" s="196" t="s">
        <v>43</v>
      </c>
      <c r="G22" s="197" t="s">
        <v>84</v>
      </c>
      <c r="H22" s="198">
        <f>COUNTIFS(D:D,"=Minimal",F:F,"=Function Not Available")</f>
        <v>0</v>
      </c>
      <c r="I22" s="214">
        <f t="shared" si="4"/>
        <v>2</v>
      </c>
      <c r="J22" s="215">
        <f t="shared" si="5"/>
        <v>0</v>
      </c>
      <c r="K22" s="210">
        <f t="shared" si="6"/>
        <v>0</v>
      </c>
      <c r="L22" s="36"/>
    </row>
    <row r="23" spans="2:13" ht="30" customHeight="1" x14ac:dyDescent="0.25">
      <c r="B23" s="97" t="str">
        <f t="shared" si="0"/>
        <v>MGen</v>
      </c>
      <c r="C23" s="98">
        <f>IF(ISTEXT(D23),MAX($C$6:$C22)+1,"")</f>
        <v>16</v>
      </c>
      <c r="D23" s="99" t="s">
        <v>11</v>
      </c>
      <c r="E23" s="125" t="s">
        <v>83</v>
      </c>
      <c r="F23" s="202" t="s">
        <v>43</v>
      </c>
      <c r="G23" s="197" t="s">
        <v>86</v>
      </c>
      <c r="H23" s="198">
        <f>COUNTIFS(D:D,"=Minimal",F:F,"=Exception")</f>
        <v>0</v>
      </c>
      <c r="I23" s="214">
        <f t="shared" si="4"/>
        <v>1</v>
      </c>
      <c r="J23" s="215">
        <f t="shared" si="5"/>
        <v>0</v>
      </c>
      <c r="K23" s="210">
        <f t="shared" si="6"/>
        <v>0</v>
      </c>
      <c r="L23" s="36"/>
    </row>
    <row r="24" spans="2:13" ht="30" customHeight="1" x14ac:dyDescent="0.25">
      <c r="B24" s="97" t="str">
        <f t="shared" si="0"/>
        <v>MGen</v>
      </c>
      <c r="C24" s="98">
        <f>IF(ISTEXT(D24),MAX($C$6:$C23)+1,"")</f>
        <v>17</v>
      </c>
      <c r="D24" s="99" t="s">
        <v>9</v>
      </c>
      <c r="E24" s="125" t="s">
        <v>85</v>
      </c>
      <c r="F24" s="202" t="s">
        <v>43</v>
      </c>
      <c r="G24" s="197"/>
      <c r="H24" s="198"/>
      <c r="I24" s="214">
        <f t="shared" si="4"/>
        <v>3</v>
      </c>
      <c r="J24" s="215">
        <f t="shared" si="5"/>
        <v>0</v>
      </c>
      <c r="K24" s="210">
        <f t="shared" si="6"/>
        <v>0</v>
      </c>
      <c r="L24" s="36"/>
    </row>
    <row r="25" spans="2:13" ht="30" customHeight="1" x14ac:dyDescent="0.25">
      <c r="B25" s="97" t="str">
        <f t="shared" si="0"/>
        <v>MGen</v>
      </c>
      <c r="C25" s="98">
        <f>IF(ISTEXT(D25),MAX($C$6:$C24)+1,"")</f>
        <v>18</v>
      </c>
      <c r="D25" s="99" t="s">
        <v>9</v>
      </c>
      <c r="E25" s="125" t="s">
        <v>87</v>
      </c>
      <c r="F25" s="196" t="s">
        <v>43</v>
      </c>
      <c r="G25" s="197"/>
      <c r="H25" s="198"/>
      <c r="I25" s="214">
        <f t="shared" si="4"/>
        <v>3</v>
      </c>
      <c r="J25" s="215">
        <f t="shared" si="5"/>
        <v>0</v>
      </c>
      <c r="K25" s="210">
        <f t="shared" si="6"/>
        <v>0</v>
      </c>
      <c r="L25" s="36"/>
    </row>
    <row r="26" spans="2:13" ht="30" customHeight="1" x14ac:dyDescent="0.25">
      <c r="B26" s="97" t="str">
        <f t="shared" si="0"/>
        <v>MGen</v>
      </c>
      <c r="C26" s="98">
        <f>IF(ISTEXT(D26),MAX($C$6:$C25)+1,"")</f>
        <v>19</v>
      </c>
      <c r="D26" s="99" t="s">
        <v>9</v>
      </c>
      <c r="E26" s="125" t="s">
        <v>88</v>
      </c>
      <c r="F26" s="202" t="s">
        <v>43</v>
      </c>
      <c r="G26" s="197"/>
      <c r="H26" s="208"/>
      <c r="I26" s="214">
        <f t="shared" si="4"/>
        <v>3</v>
      </c>
      <c r="J26" s="215">
        <f t="shared" si="5"/>
        <v>0</v>
      </c>
      <c r="K26" s="210">
        <f t="shared" si="6"/>
        <v>0</v>
      </c>
      <c r="L26" s="36"/>
    </row>
    <row r="27" spans="2:13" ht="30" customHeight="1" x14ac:dyDescent="0.25">
      <c r="B27" s="97" t="str">
        <f t="shared" si="0"/>
        <v>MGen</v>
      </c>
      <c r="C27" s="98">
        <f>IF(ISTEXT(D27),MAX($C$6:$C26)+1,"")</f>
        <v>20</v>
      </c>
      <c r="D27" s="99" t="s">
        <v>9</v>
      </c>
      <c r="E27" s="125" t="s">
        <v>89</v>
      </c>
      <c r="F27" s="202" t="s">
        <v>43</v>
      </c>
      <c r="G27" s="197"/>
      <c r="H27" s="208"/>
      <c r="I27" s="214">
        <f t="shared" si="4"/>
        <v>3</v>
      </c>
      <c r="J27" s="215">
        <f t="shared" si="5"/>
        <v>0</v>
      </c>
      <c r="K27" s="210">
        <f t="shared" si="6"/>
        <v>0</v>
      </c>
      <c r="L27" s="36"/>
    </row>
    <row r="28" spans="2:13" ht="30" customHeight="1" x14ac:dyDescent="0.25">
      <c r="B28" s="97" t="str">
        <f t="shared" si="0"/>
        <v>MGen</v>
      </c>
      <c r="C28" s="98">
        <f>IF(ISTEXT(D28),MAX($C$6:$C27)+1,"")</f>
        <v>21</v>
      </c>
      <c r="D28" s="99" t="s">
        <v>9</v>
      </c>
      <c r="E28" s="125" t="s">
        <v>90</v>
      </c>
      <c r="F28" s="196" t="s">
        <v>43</v>
      </c>
      <c r="G28" s="197"/>
      <c r="H28" s="208"/>
      <c r="I28" s="214">
        <f t="shared" si="4"/>
        <v>3</v>
      </c>
      <c r="J28" s="215">
        <f t="shared" si="5"/>
        <v>0</v>
      </c>
      <c r="K28" s="210">
        <f t="shared" si="6"/>
        <v>0</v>
      </c>
      <c r="L28" s="36"/>
    </row>
    <row r="29" spans="2:13" ht="30" customHeight="1" x14ac:dyDescent="0.25">
      <c r="B29" s="97" t="str">
        <f t="shared" si="0"/>
        <v>MGen</v>
      </c>
      <c r="C29" s="98">
        <f>IF(ISTEXT(D29),MAX($C$6:$C28)+1,"")</f>
        <v>22</v>
      </c>
      <c r="D29" s="99" t="s">
        <v>9</v>
      </c>
      <c r="E29" s="125" t="s">
        <v>91</v>
      </c>
      <c r="F29" s="202" t="s">
        <v>43</v>
      </c>
      <c r="G29" s="197"/>
      <c r="H29" s="208"/>
      <c r="I29" s="214">
        <f t="shared" si="4"/>
        <v>3</v>
      </c>
      <c r="J29" s="215">
        <f t="shared" si="5"/>
        <v>0</v>
      </c>
      <c r="K29" s="210">
        <f t="shared" si="6"/>
        <v>0</v>
      </c>
      <c r="L29" s="38"/>
    </row>
    <row r="30" spans="2:13" ht="30" customHeight="1" x14ac:dyDescent="0.25">
      <c r="B30" s="97" t="str">
        <f t="shared" si="0"/>
        <v>MGen</v>
      </c>
      <c r="C30" s="98">
        <f>IF(ISTEXT(D30),MAX($C$6:$C29)+1,"")</f>
        <v>23</v>
      </c>
      <c r="D30" s="99" t="s">
        <v>9</v>
      </c>
      <c r="E30" s="125" t="s">
        <v>92</v>
      </c>
      <c r="F30" s="202" t="s">
        <v>43</v>
      </c>
      <c r="G30" s="197"/>
      <c r="H30" s="208"/>
      <c r="I30" s="214">
        <f t="shared" ref="I30:I37" si="8">VLOOKUP($D30,SpecData,2,FALSE)</f>
        <v>3</v>
      </c>
      <c r="J30" s="215">
        <f t="shared" ref="J30:J37" si="9">VLOOKUP($F30,AvailabilityData,2,FALSE)</f>
        <v>0</v>
      </c>
      <c r="K30" s="210">
        <f t="shared" si="6"/>
        <v>0</v>
      </c>
      <c r="L30" s="36"/>
    </row>
    <row r="31" spans="2:13" ht="30" customHeight="1" x14ac:dyDescent="0.25">
      <c r="B31" s="97" t="str">
        <f t="shared" si="0"/>
        <v>MGen</v>
      </c>
      <c r="C31" s="98">
        <f>IF(ISTEXT(D31),MAX($C$6:$C30)+1,"")</f>
        <v>24</v>
      </c>
      <c r="D31" s="99" t="s">
        <v>9</v>
      </c>
      <c r="E31" s="125" t="s">
        <v>93</v>
      </c>
      <c r="F31" s="196" t="s">
        <v>43</v>
      </c>
      <c r="G31" s="197"/>
      <c r="H31" s="208"/>
      <c r="I31" s="214">
        <f t="shared" si="8"/>
        <v>3</v>
      </c>
      <c r="J31" s="215">
        <f t="shared" si="9"/>
        <v>0</v>
      </c>
      <c r="K31" s="210">
        <f t="shared" si="6"/>
        <v>0</v>
      </c>
      <c r="L31" s="36"/>
    </row>
    <row r="32" spans="2:13" ht="30" customHeight="1" x14ac:dyDescent="0.25">
      <c r="B32" s="97" t="str">
        <f t="shared" si="0"/>
        <v>MGen</v>
      </c>
      <c r="C32" s="98">
        <f>IF(ISTEXT(D32),MAX($C$6:$C31)+1,"")</f>
        <v>25</v>
      </c>
      <c r="D32" s="99" t="s">
        <v>9</v>
      </c>
      <c r="E32" s="125" t="s">
        <v>94</v>
      </c>
      <c r="F32" s="196" t="s">
        <v>43</v>
      </c>
      <c r="G32" s="197"/>
      <c r="H32" s="208"/>
      <c r="I32" s="214">
        <f t="shared" si="8"/>
        <v>3</v>
      </c>
      <c r="J32" s="215">
        <f t="shared" si="9"/>
        <v>0</v>
      </c>
      <c r="K32" s="210">
        <f t="shared" si="6"/>
        <v>0</v>
      </c>
      <c r="L32" s="36"/>
    </row>
    <row r="33" spans="2:12" ht="30" customHeight="1" x14ac:dyDescent="0.25">
      <c r="B33" s="97" t="str">
        <f t="shared" si="0"/>
        <v>MGen</v>
      </c>
      <c r="C33" s="98">
        <f>IF(ISTEXT(D33),MAX($C$6:$C32)+1,"")</f>
        <v>26</v>
      </c>
      <c r="D33" s="99" t="s">
        <v>9</v>
      </c>
      <c r="E33" s="125" t="s">
        <v>95</v>
      </c>
      <c r="F33" s="202" t="s">
        <v>43</v>
      </c>
      <c r="G33" s="197"/>
      <c r="H33" s="208"/>
      <c r="I33" s="214">
        <f t="shared" si="8"/>
        <v>3</v>
      </c>
      <c r="J33" s="215">
        <f t="shared" si="9"/>
        <v>0</v>
      </c>
      <c r="K33" s="210">
        <f t="shared" si="6"/>
        <v>0</v>
      </c>
      <c r="L33" s="38"/>
    </row>
    <row r="34" spans="2:12" ht="30" customHeight="1" x14ac:dyDescent="0.25">
      <c r="B34" s="97" t="str">
        <f t="shared" si="0"/>
        <v>MGen</v>
      </c>
      <c r="C34" s="98">
        <f>IF(ISTEXT(D34),MAX($C$6:$C33)+1,"")</f>
        <v>27</v>
      </c>
      <c r="D34" s="99" t="s">
        <v>9</v>
      </c>
      <c r="E34" s="125" t="s">
        <v>96</v>
      </c>
      <c r="F34" s="202" t="s">
        <v>43</v>
      </c>
      <c r="G34" s="197"/>
      <c r="H34" s="208"/>
      <c r="I34" s="214">
        <f t="shared" si="8"/>
        <v>3</v>
      </c>
      <c r="J34" s="215">
        <f t="shared" si="9"/>
        <v>0</v>
      </c>
      <c r="K34" s="210">
        <f t="shared" si="6"/>
        <v>0</v>
      </c>
      <c r="L34" s="36"/>
    </row>
    <row r="35" spans="2:12" ht="42.75" x14ac:dyDescent="0.25">
      <c r="B35" s="97" t="str">
        <f t="shared" si="0"/>
        <v>MGen</v>
      </c>
      <c r="C35" s="98">
        <f>IF(ISTEXT(D35),MAX($C$6:$C34)+1,"")</f>
        <v>28</v>
      </c>
      <c r="D35" s="99" t="s">
        <v>9</v>
      </c>
      <c r="E35" s="126" t="s">
        <v>432</v>
      </c>
      <c r="F35" s="196" t="s">
        <v>43</v>
      </c>
      <c r="G35" s="197"/>
      <c r="H35" s="208"/>
      <c r="I35" s="214">
        <f t="shared" si="8"/>
        <v>3</v>
      </c>
      <c r="J35" s="215">
        <f t="shared" si="9"/>
        <v>0</v>
      </c>
      <c r="K35" s="210">
        <f t="shared" si="6"/>
        <v>0</v>
      </c>
      <c r="L35" s="36"/>
    </row>
    <row r="36" spans="2:12" ht="30" customHeight="1" x14ac:dyDescent="0.25">
      <c r="B36" s="97" t="str">
        <f t="shared" si="0"/>
        <v>MGen</v>
      </c>
      <c r="C36" s="98">
        <f>IF(ISTEXT(D36),MAX($C$6:$C35)+1,"")</f>
        <v>29</v>
      </c>
      <c r="D36" s="99" t="s">
        <v>9</v>
      </c>
      <c r="E36" s="126" t="s">
        <v>97</v>
      </c>
      <c r="F36" s="202" t="s">
        <v>43</v>
      </c>
      <c r="G36" s="197"/>
      <c r="H36" s="208"/>
      <c r="I36" s="214">
        <f t="shared" si="8"/>
        <v>3</v>
      </c>
      <c r="J36" s="215">
        <f t="shared" si="9"/>
        <v>0</v>
      </c>
      <c r="K36" s="210">
        <f t="shared" si="6"/>
        <v>0</v>
      </c>
      <c r="L36" s="36"/>
    </row>
    <row r="37" spans="2:12" ht="42.75" x14ac:dyDescent="0.25">
      <c r="B37" s="97" t="str">
        <f t="shared" si="0"/>
        <v>MGen</v>
      </c>
      <c r="C37" s="98">
        <f>IF(ISTEXT(D37),MAX($C$6:$C36)+1,"")</f>
        <v>30</v>
      </c>
      <c r="D37" s="99" t="s">
        <v>9</v>
      </c>
      <c r="E37" s="126" t="s">
        <v>513</v>
      </c>
      <c r="F37" s="202" t="s">
        <v>43</v>
      </c>
      <c r="G37" s="197"/>
      <c r="H37" s="208"/>
      <c r="I37" s="214">
        <f t="shared" si="8"/>
        <v>3</v>
      </c>
      <c r="J37" s="215">
        <f t="shared" si="9"/>
        <v>0</v>
      </c>
      <c r="K37" s="210">
        <f t="shared" si="6"/>
        <v>0</v>
      </c>
      <c r="L37" s="36"/>
    </row>
    <row r="38" spans="2:12" ht="85.5" x14ac:dyDescent="0.25">
      <c r="B38" s="97" t="str">
        <f t="shared" si="0"/>
        <v>MGen</v>
      </c>
      <c r="C38" s="98">
        <f>IF(ISTEXT(D38),MAX($C$6:$C37)+1,"")</f>
        <v>31</v>
      </c>
      <c r="D38" s="99" t="s">
        <v>9</v>
      </c>
      <c r="E38" s="126" t="s">
        <v>433</v>
      </c>
      <c r="F38" s="196" t="s">
        <v>43</v>
      </c>
      <c r="G38" s="197"/>
      <c r="H38" s="208"/>
      <c r="I38" s="214">
        <f t="shared" ref="I38:I43" si="10">VLOOKUP($D38,SpecData,2,FALSE)</f>
        <v>3</v>
      </c>
      <c r="J38" s="215">
        <f t="shared" ref="J38:J43" si="11">VLOOKUP($F38,AvailabilityData,2,FALSE)</f>
        <v>0</v>
      </c>
      <c r="K38" s="210">
        <f>I38*J38</f>
        <v>0</v>
      </c>
      <c r="L38" s="36"/>
    </row>
    <row r="39" spans="2:12" ht="42.75" x14ac:dyDescent="0.25">
      <c r="B39" s="97" t="str">
        <f t="shared" si="0"/>
        <v>MGen</v>
      </c>
      <c r="C39" s="98">
        <f>IF(ISTEXT(D39),MAX($C$6:$C38)+1,"")</f>
        <v>32</v>
      </c>
      <c r="D39" s="99" t="s">
        <v>9</v>
      </c>
      <c r="E39" s="126" t="s">
        <v>434</v>
      </c>
      <c r="F39" s="202" t="s">
        <v>43</v>
      </c>
      <c r="G39" s="197"/>
      <c r="H39" s="208"/>
      <c r="I39" s="214">
        <f t="shared" si="10"/>
        <v>3</v>
      </c>
      <c r="J39" s="215">
        <f t="shared" si="11"/>
        <v>0</v>
      </c>
      <c r="K39" s="210">
        <f t="shared" ref="K39:K43" si="12">I39*J39</f>
        <v>0</v>
      </c>
      <c r="L39" s="36"/>
    </row>
    <row r="40" spans="2:12" ht="28.5" x14ac:dyDescent="0.25">
      <c r="B40" s="97" t="str">
        <f t="shared" si="0"/>
        <v>MGen</v>
      </c>
      <c r="C40" s="98">
        <f>IF(ISTEXT(D40),MAX($C$6:$C39)+1,"")</f>
        <v>33</v>
      </c>
      <c r="D40" s="99" t="s">
        <v>10</v>
      </c>
      <c r="E40" s="126" t="s">
        <v>435</v>
      </c>
      <c r="F40" s="202" t="s">
        <v>43</v>
      </c>
      <c r="G40" s="197"/>
      <c r="H40" s="208"/>
      <c r="I40" s="214">
        <f t="shared" si="10"/>
        <v>2</v>
      </c>
      <c r="J40" s="215">
        <f t="shared" si="11"/>
        <v>0</v>
      </c>
      <c r="K40" s="210">
        <f t="shared" si="12"/>
        <v>0</v>
      </c>
      <c r="L40" s="36"/>
    </row>
    <row r="41" spans="2:12" ht="42.75" x14ac:dyDescent="0.25">
      <c r="B41" s="97" t="str">
        <f t="shared" si="0"/>
        <v>MGen</v>
      </c>
      <c r="C41" s="98">
        <f>IF(ISTEXT(D41),MAX($C$6:$C40)+1,"")</f>
        <v>34</v>
      </c>
      <c r="D41" s="99" t="s">
        <v>11</v>
      </c>
      <c r="E41" s="126" t="s">
        <v>500</v>
      </c>
      <c r="F41" s="196" t="s">
        <v>43</v>
      </c>
      <c r="G41" s="197"/>
      <c r="H41" s="208"/>
      <c r="I41" s="214">
        <f t="shared" si="10"/>
        <v>1</v>
      </c>
      <c r="J41" s="215">
        <f t="shared" si="11"/>
        <v>0</v>
      </c>
      <c r="K41" s="210">
        <f t="shared" si="12"/>
        <v>0</v>
      </c>
      <c r="L41" s="36"/>
    </row>
    <row r="42" spans="2:12" ht="30" customHeight="1" x14ac:dyDescent="0.25">
      <c r="B42" s="97" t="str">
        <f t="shared" si="0"/>
        <v>MGen</v>
      </c>
      <c r="C42" s="98">
        <f>IF(ISTEXT(D42),MAX($C$6:$C41)+1,"")</f>
        <v>35</v>
      </c>
      <c r="D42" s="99" t="s">
        <v>11</v>
      </c>
      <c r="E42" s="126" t="s">
        <v>436</v>
      </c>
      <c r="F42" s="196" t="s">
        <v>43</v>
      </c>
      <c r="G42" s="197"/>
      <c r="H42" s="208"/>
      <c r="I42" s="214">
        <f t="shared" si="10"/>
        <v>1</v>
      </c>
      <c r="J42" s="215">
        <f t="shared" si="11"/>
        <v>0</v>
      </c>
      <c r="K42" s="210">
        <f t="shared" si="12"/>
        <v>0</v>
      </c>
      <c r="L42" s="36"/>
    </row>
    <row r="43" spans="2:12" ht="30" customHeight="1" x14ac:dyDescent="0.25">
      <c r="B43" s="97" t="str">
        <f t="shared" si="0"/>
        <v>MGen</v>
      </c>
      <c r="C43" s="98">
        <f>IF(ISTEXT(D43),MAX($C$6:$C42)+1,"")</f>
        <v>36</v>
      </c>
      <c r="D43" s="99" t="s">
        <v>10</v>
      </c>
      <c r="E43" s="126" t="s">
        <v>437</v>
      </c>
      <c r="F43" s="202" t="s">
        <v>43</v>
      </c>
      <c r="G43" s="197"/>
      <c r="H43" s="208"/>
      <c r="I43" s="214">
        <f t="shared" si="10"/>
        <v>2</v>
      </c>
      <c r="J43" s="215">
        <f t="shared" si="11"/>
        <v>0</v>
      </c>
      <c r="K43" s="210">
        <f t="shared" si="12"/>
        <v>0</v>
      </c>
      <c r="L43" s="37"/>
    </row>
    <row r="44" spans="2:12" ht="42.75" x14ac:dyDescent="0.25">
      <c r="B44" s="97" t="str">
        <f t="shared" si="0"/>
        <v>MGen</v>
      </c>
      <c r="C44" s="98">
        <f>IF(ISTEXT(D44),MAX($C$6:$C43)+1,"")</f>
        <v>37</v>
      </c>
      <c r="D44" s="99" t="s">
        <v>10</v>
      </c>
      <c r="E44" s="108" t="s">
        <v>438</v>
      </c>
      <c r="F44" s="202" t="s">
        <v>43</v>
      </c>
      <c r="G44" s="197"/>
      <c r="H44" s="208"/>
      <c r="I44" s="214">
        <f t="shared" ref="I44:I103" si="13">VLOOKUP($D44,SpecData,2,FALSE)</f>
        <v>2</v>
      </c>
      <c r="J44" s="215">
        <f t="shared" ref="J44:J103" si="14">VLOOKUP($F44,AvailabilityData,2,FALSE)</f>
        <v>0</v>
      </c>
      <c r="K44" s="210">
        <f>I44*J44</f>
        <v>0</v>
      </c>
      <c r="L44" s="36"/>
    </row>
    <row r="45" spans="2:12" ht="52.15" customHeight="1" x14ac:dyDescent="0.25">
      <c r="B45" s="97" t="str">
        <f t="shared" si="0"/>
        <v>MGen</v>
      </c>
      <c r="C45" s="98">
        <f>IF(ISTEXT(D45),MAX($C$6:$C44)+1,"")</f>
        <v>38</v>
      </c>
      <c r="D45" s="99" t="s">
        <v>10</v>
      </c>
      <c r="E45" s="108" t="s">
        <v>452</v>
      </c>
      <c r="F45" s="196" t="s">
        <v>43</v>
      </c>
      <c r="G45" s="197"/>
      <c r="H45" s="208"/>
      <c r="I45" s="214">
        <f t="shared" si="13"/>
        <v>2</v>
      </c>
      <c r="J45" s="215">
        <f t="shared" si="14"/>
        <v>0</v>
      </c>
      <c r="K45" s="210">
        <f t="shared" ref="K45:K48" si="15">I45*J45</f>
        <v>0</v>
      </c>
      <c r="L45" s="36"/>
    </row>
    <row r="46" spans="2:12" ht="40.5" customHeight="1" x14ac:dyDescent="0.25">
      <c r="B46" s="97" t="str">
        <f t="shared" si="0"/>
        <v>MGen</v>
      </c>
      <c r="C46" s="98">
        <f>IF(ISTEXT(D46),MAX($C$6:$C45)+1,"")</f>
        <v>39</v>
      </c>
      <c r="D46" s="99" t="s">
        <v>9</v>
      </c>
      <c r="E46" s="108" t="s">
        <v>514</v>
      </c>
      <c r="F46" s="202" t="s">
        <v>43</v>
      </c>
      <c r="G46" s="197"/>
      <c r="H46" s="208"/>
      <c r="I46" s="214">
        <f t="shared" si="13"/>
        <v>3</v>
      </c>
      <c r="J46" s="215">
        <f t="shared" si="14"/>
        <v>0</v>
      </c>
      <c r="K46" s="210">
        <f t="shared" si="15"/>
        <v>0</v>
      </c>
      <c r="L46" s="36"/>
    </row>
    <row r="47" spans="2:12" ht="30" customHeight="1" x14ac:dyDescent="0.25">
      <c r="B47" s="97" t="str">
        <f t="shared" si="0"/>
        <v>MGen</v>
      </c>
      <c r="C47" s="98">
        <f>IF(ISTEXT(D47),MAX($C$6:$C46)+1,"")</f>
        <v>40</v>
      </c>
      <c r="D47" s="99" t="s">
        <v>9</v>
      </c>
      <c r="E47" s="108" t="s">
        <v>439</v>
      </c>
      <c r="F47" s="202" t="s">
        <v>43</v>
      </c>
      <c r="G47" s="197"/>
      <c r="H47" s="208"/>
      <c r="I47" s="214">
        <f t="shared" si="13"/>
        <v>3</v>
      </c>
      <c r="J47" s="215">
        <f t="shared" si="14"/>
        <v>0</v>
      </c>
      <c r="K47" s="210">
        <f t="shared" si="15"/>
        <v>0</v>
      </c>
      <c r="L47" s="36"/>
    </row>
    <row r="48" spans="2:12" ht="37.9" customHeight="1" x14ac:dyDescent="0.25">
      <c r="B48" s="97" t="str">
        <f t="shared" si="0"/>
        <v>MGen</v>
      </c>
      <c r="C48" s="98">
        <f>IF(ISTEXT(D48),MAX($C$6:$C47)+1,"")</f>
        <v>41</v>
      </c>
      <c r="D48" s="99" t="s">
        <v>9</v>
      </c>
      <c r="E48" s="108" t="s">
        <v>440</v>
      </c>
      <c r="F48" s="196" t="s">
        <v>43</v>
      </c>
      <c r="G48" s="197"/>
      <c r="H48" s="208"/>
      <c r="I48" s="214">
        <f t="shared" si="13"/>
        <v>3</v>
      </c>
      <c r="J48" s="215">
        <f t="shared" si="14"/>
        <v>0</v>
      </c>
      <c r="K48" s="210">
        <f t="shared" si="15"/>
        <v>0</v>
      </c>
      <c r="L48" s="36"/>
    </row>
    <row r="49" spans="2:12" ht="30" customHeight="1" x14ac:dyDescent="0.25">
      <c r="B49" s="97" t="str">
        <f t="shared" si="0"/>
        <v>MGen</v>
      </c>
      <c r="C49" s="98">
        <f>IF(ISTEXT(D49),MAX($C$6:$C48)+1,"")</f>
        <v>42</v>
      </c>
      <c r="D49" s="99" t="s">
        <v>9</v>
      </c>
      <c r="E49" s="108" t="s">
        <v>441</v>
      </c>
      <c r="F49" s="202" t="s">
        <v>43</v>
      </c>
      <c r="G49" s="218"/>
      <c r="H49" s="219"/>
      <c r="I49" s="199">
        <f t="shared" si="13"/>
        <v>3</v>
      </c>
      <c r="J49" s="200">
        <f t="shared" si="14"/>
        <v>0</v>
      </c>
      <c r="K49" s="201">
        <f>I49*J49</f>
        <v>0</v>
      </c>
      <c r="L49" s="36"/>
    </row>
    <row r="50" spans="2:12" ht="30" customHeight="1" x14ac:dyDescent="0.25">
      <c r="B50" s="97" t="str">
        <f t="shared" si="0"/>
        <v>MGen</v>
      </c>
      <c r="C50" s="98">
        <f>IF(ISTEXT(D50),MAX($C$6:$C49)+1,"")</f>
        <v>43</v>
      </c>
      <c r="D50" s="99" t="s">
        <v>9</v>
      </c>
      <c r="E50" s="108" t="s">
        <v>442</v>
      </c>
      <c r="F50" s="202" t="s">
        <v>43</v>
      </c>
      <c r="G50" s="197"/>
      <c r="H50" s="208"/>
      <c r="I50" s="214">
        <f t="shared" si="13"/>
        <v>3</v>
      </c>
      <c r="J50" s="215">
        <f t="shared" si="14"/>
        <v>0</v>
      </c>
      <c r="K50" s="210">
        <f t="shared" ref="K50:K53" si="16">I50*J50</f>
        <v>0</v>
      </c>
      <c r="L50" s="36"/>
    </row>
    <row r="51" spans="2:12" ht="45" customHeight="1" x14ac:dyDescent="0.25">
      <c r="B51" s="97" t="str">
        <f t="shared" si="0"/>
        <v>MGen</v>
      </c>
      <c r="C51" s="98">
        <f>IF(ISTEXT(D51),MAX($C$6:$C50)+1,"")</f>
        <v>44</v>
      </c>
      <c r="D51" s="99" t="s">
        <v>9</v>
      </c>
      <c r="E51" s="108" t="s">
        <v>443</v>
      </c>
      <c r="F51" s="196" t="s">
        <v>43</v>
      </c>
      <c r="G51" s="197"/>
      <c r="H51" s="208"/>
      <c r="I51" s="214">
        <f t="shared" si="13"/>
        <v>3</v>
      </c>
      <c r="J51" s="215">
        <f t="shared" si="14"/>
        <v>0</v>
      </c>
      <c r="K51" s="210">
        <f t="shared" si="16"/>
        <v>0</v>
      </c>
      <c r="L51" s="36"/>
    </row>
    <row r="52" spans="2:12" ht="29.45" customHeight="1" x14ac:dyDescent="0.25">
      <c r="B52" s="97" t="str">
        <f t="shared" si="0"/>
        <v>MGen</v>
      </c>
      <c r="C52" s="98">
        <f>IF(ISTEXT(D52),MAX($C$6:$C51)+1,"")</f>
        <v>45</v>
      </c>
      <c r="D52" s="99" t="s">
        <v>10</v>
      </c>
      <c r="E52" s="108" t="s">
        <v>98</v>
      </c>
      <c r="F52" s="196" t="s">
        <v>43</v>
      </c>
      <c r="G52" s="197"/>
      <c r="H52" s="208"/>
      <c r="I52" s="214">
        <f t="shared" si="13"/>
        <v>2</v>
      </c>
      <c r="J52" s="215">
        <f t="shared" si="14"/>
        <v>0</v>
      </c>
      <c r="K52" s="210">
        <f t="shared" si="16"/>
        <v>0</v>
      </c>
      <c r="L52" s="36"/>
    </row>
    <row r="53" spans="2:12" ht="30" customHeight="1" x14ac:dyDescent="0.25">
      <c r="B53" s="97" t="str">
        <f t="shared" si="0"/>
        <v>MGen</v>
      </c>
      <c r="C53" s="98">
        <f>IF(ISTEXT(D53),MAX($C$6:$C52)+1,"")</f>
        <v>46</v>
      </c>
      <c r="D53" s="99" t="s">
        <v>10</v>
      </c>
      <c r="E53" s="108" t="s">
        <v>99</v>
      </c>
      <c r="F53" s="202" t="s">
        <v>43</v>
      </c>
      <c r="G53" s="197"/>
      <c r="H53" s="208"/>
      <c r="I53" s="214">
        <f t="shared" si="13"/>
        <v>2</v>
      </c>
      <c r="J53" s="215">
        <f t="shared" si="14"/>
        <v>0</v>
      </c>
      <c r="K53" s="210">
        <f t="shared" si="16"/>
        <v>0</v>
      </c>
      <c r="L53" s="36"/>
    </row>
    <row r="54" spans="2:12" ht="30" customHeight="1" x14ac:dyDescent="0.25">
      <c r="B54" s="120" t="str">
        <f t="shared" ref="B54:B109" si="17">IF(C54="","",$B$5)</f>
        <v/>
      </c>
      <c r="C54" s="121" t="str">
        <f>IF(ISTEXT(D54),MAX($C$6:$C53)+1,"")</f>
        <v/>
      </c>
      <c r="D54" s="121"/>
      <c r="E54" s="122" t="s">
        <v>444</v>
      </c>
      <c r="F54" s="123"/>
      <c r="G54" s="123"/>
      <c r="H54" s="123"/>
      <c r="I54" s="123"/>
      <c r="J54" s="123"/>
      <c r="K54" s="123"/>
      <c r="L54" s="119"/>
    </row>
    <row r="55" spans="2:12" ht="30" customHeight="1" x14ac:dyDescent="0.25">
      <c r="B55" s="97" t="str">
        <f t="shared" si="17"/>
        <v>MGen</v>
      </c>
      <c r="C55" s="98">
        <f>IF(ISTEXT(D55),MAX($C$6:$C53)+1,"")</f>
        <v>47</v>
      </c>
      <c r="D55" s="99" t="s">
        <v>9</v>
      </c>
      <c r="E55" s="125" t="s">
        <v>100</v>
      </c>
      <c r="F55" s="202" t="s">
        <v>43</v>
      </c>
      <c r="G55" s="197"/>
      <c r="H55" s="208"/>
      <c r="I55" s="214">
        <f t="shared" si="13"/>
        <v>3</v>
      </c>
      <c r="J55" s="215">
        <f t="shared" si="14"/>
        <v>0</v>
      </c>
      <c r="K55" s="210">
        <f t="shared" ref="K55:K56" si="18">I55*J55</f>
        <v>0</v>
      </c>
      <c r="L55" s="36"/>
    </row>
    <row r="56" spans="2:12" ht="30" customHeight="1" x14ac:dyDescent="0.25">
      <c r="B56" s="97" t="str">
        <f t="shared" si="17"/>
        <v>MGen</v>
      </c>
      <c r="C56" s="98">
        <f>IF(ISTEXT(D56),MAX($C$6:$C55)+1,"")</f>
        <v>48</v>
      </c>
      <c r="D56" s="99" t="s">
        <v>9</v>
      </c>
      <c r="E56" s="125" t="s">
        <v>101</v>
      </c>
      <c r="F56" s="202" t="s">
        <v>43</v>
      </c>
      <c r="G56" s="197"/>
      <c r="H56" s="208"/>
      <c r="I56" s="214">
        <f t="shared" si="13"/>
        <v>3</v>
      </c>
      <c r="J56" s="215">
        <f t="shared" si="14"/>
        <v>0</v>
      </c>
      <c r="K56" s="210">
        <f t="shared" si="18"/>
        <v>0</v>
      </c>
      <c r="L56" s="36"/>
    </row>
    <row r="57" spans="2:12" ht="30" customHeight="1" x14ac:dyDescent="0.25">
      <c r="B57" s="97" t="str">
        <f t="shared" si="17"/>
        <v>MGen</v>
      </c>
      <c r="C57" s="98">
        <f>IF(ISTEXT(D57),MAX($C$6:$C56)+1,"")</f>
        <v>49</v>
      </c>
      <c r="D57" s="99" t="s">
        <v>9</v>
      </c>
      <c r="E57" s="125" t="s">
        <v>102</v>
      </c>
      <c r="F57" s="202" t="s">
        <v>43</v>
      </c>
      <c r="G57" s="197"/>
      <c r="H57" s="208"/>
      <c r="I57" s="214">
        <f t="shared" si="13"/>
        <v>3</v>
      </c>
      <c r="J57" s="215">
        <f t="shared" si="14"/>
        <v>0</v>
      </c>
      <c r="K57" s="210">
        <f>I57*J57</f>
        <v>0</v>
      </c>
      <c r="L57" s="36"/>
    </row>
    <row r="58" spans="2:12" ht="30" customHeight="1" x14ac:dyDescent="0.25">
      <c r="B58" s="97" t="str">
        <f t="shared" si="17"/>
        <v>MGen</v>
      </c>
      <c r="C58" s="98">
        <f>IF(ISTEXT(D58),MAX($C$6:$C57)+1,"")</f>
        <v>50</v>
      </c>
      <c r="D58" s="99" t="s">
        <v>11</v>
      </c>
      <c r="E58" s="125" t="s">
        <v>103</v>
      </c>
      <c r="F58" s="202" t="s">
        <v>43</v>
      </c>
      <c r="G58" s="197"/>
      <c r="H58" s="208"/>
      <c r="I58" s="214">
        <f t="shared" si="13"/>
        <v>1</v>
      </c>
      <c r="J58" s="215">
        <f t="shared" si="14"/>
        <v>0</v>
      </c>
      <c r="K58" s="210">
        <f t="shared" ref="K58:K62" si="19">I58*J58</f>
        <v>0</v>
      </c>
      <c r="L58" s="36"/>
    </row>
    <row r="59" spans="2:12" ht="30" customHeight="1" x14ac:dyDescent="0.25">
      <c r="B59" s="97" t="str">
        <f t="shared" si="17"/>
        <v>MGen</v>
      </c>
      <c r="C59" s="98">
        <f>IF(ISTEXT(D59),MAX($C$6:$C58)+1,"")</f>
        <v>51</v>
      </c>
      <c r="D59" s="99" t="s">
        <v>9</v>
      </c>
      <c r="E59" s="108" t="s">
        <v>445</v>
      </c>
      <c r="F59" s="202" t="s">
        <v>43</v>
      </c>
      <c r="G59" s="197"/>
      <c r="H59" s="208"/>
      <c r="I59" s="214">
        <f t="shared" si="13"/>
        <v>3</v>
      </c>
      <c r="J59" s="215">
        <f t="shared" si="14"/>
        <v>0</v>
      </c>
      <c r="K59" s="210">
        <f t="shared" si="19"/>
        <v>0</v>
      </c>
      <c r="L59" s="36"/>
    </row>
    <row r="60" spans="2:12" ht="30" customHeight="1" x14ac:dyDescent="0.25">
      <c r="B60" s="97" t="str">
        <f t="shared" si="17"/>
        <v>MGen</v>
      </c>
      <c r="C60" s="98">
        <f>IF(ISTEXT(D60),MAX($C$6:$C59)+1,"")</f>
        <v>52</v>
      </c>
      <c r="D60" s="99" t="s">
        <v>9</v>
      </c>
      <c r="E60" s="108" t="s">
        <v>446</v>
      </c>
      <c r="F60" s="202" t="s">
        <v>43</v>
      </c>
      <c r="G60" s="197"/>
      <c r="H60" s="208"/>
      <c r="I60" s="214">
        <f t="shared" si="13"/>
        <v>3</v>
      </c>
      <c r="J60" s="215">
        <f t="shared" si="14"/>
        <v>0</v>
      </c>
      <c r="K60" s="210">
        <f t="shared" si="19"/>
        <v>0</v>
      </c>
      <c r="L60" s="36"/>
    </row>
    <row r="61" spans="2:12" ht="30" customHeight="1" x14ac:dyDescent="0.25">
      <c r="B61" s="97" t="str">
        <f t="shared" si="17"/>
        <v>MGen</v>
      </c>
      <c r="C61" s="98">
        <f>IF(ISTEXT(D61),MAX($C$6:$C60)+1,"")</f>
        <v>53</v>
      </c>
      <c r="D61" s="99" t="s">
        <v>9</v>
      </c>
      <c r="E61" s="108" t="s">
        <v>104</v>
      </c>
      <c r="F61" s="202" t="s">
        <v>43</v>
      </c>
      <c r="G61" s="197"/>
      <c r="H61" s="208"/>
      <c r="I61" s="214">
        <f t="shared" si="13"/>
        <v>3</v>
      </c>
      <c r="J61" s="215">
        <f t="shared" si="14"/>
        <v>0</v>
      </c>
      <c r="K61" s="210">
        <f t="shared" si="19"/>
        <v>0</v>
      </c>
      <c r="L61" s="36"/>
    </row>
    <row r="62" spans="2:12" ht="60.6" customHeight="1" x14ac:dyDescent="0.25">
      <c r="B62" s="97" t="str">
        <f t="shared" si="17"/>
        <v>MGen</v>
      </c>
      <c r="C62" s="98">
        <f>IF(ISTEXT(D62),MAX($C$6:$C61)+1,"")</f>
        <v>54</v>
      </c>
      <c r="D62" s="99" t="s">
        <v>10</v>
      </c>
      <c r="E62" s="108" t="s">
        <v>509</v>
      </c>
      <c r="F62" s="202" t="s">
        <v>43</v>
      </c>
      <c r="G62" s="197"/>
      <c r="H62" s="208"/>
      <c r="I62" s="214">
        <f t="shared" si="13"/>
        <v>2</v>
      </c>
      <c r="J62" s="215">
        <f t="shared" si="14"/>
        <v>0</v>
      </c>
      <c r="K62" s="210">
        <f t="shared" si="19"/>
        <v>0</v>
      </c>
      <c r="L62" s="36"/>
    </row>
    <row r="63" spans="2:12" ht="30" customHeight="1" x14ac:dyDescent="0.25">
      <c r="B63" s="97" t="str">
        <f t="shared" si="17"/>
        <v>MGen</v>
      </c>
      <c r="C63" s="98">
        <f>IF(ISTEXT(D63),MAX($C$6:$C62)+1,"")</f>
        <v>55</v>
      </c>
      <c r="D63" s="99" t="s">
        <v>9</v>
      </c>
      <c r="E63" s="108" t="s">
        <v>447</v>
      </c>
      <c r="F63" s="202" t="s">
        <v>43</v>
      </c>
      <c r="G63" s="197"/>
      <c r="H63" s="208"/>
      <c r="I63" s="214">
        <f t="shared" si="13"/>
        <v>3</v>
      </c>
      <c r="J63" s="215">
        <f t="shared" si="14"/>
        <v>0</v>
      </c>
      <c r="K63" s="210">
        <f>I63*J63</f>
        <v>0</v>
      </c>
      <c r="L63" s="36"/>
    </row>
    <row r="64" spans="2:12" ht="30" customHeight="1" x14ac:dyDescent="0.25">
      <c r="B64" s="97" t="str">
        <f t="shared" si="17"/>
        <v>MGen</v>
      </c>
      <c r="C64" s="98">
        <f>IF(ISTEXT(D64),MAX($C$6:$C63)+1,"")</f>
        <v>56</v>
      </c>
      <c r="D64" s="99" t="s">
        <v>9</v>
      </c>
      <c r="E64" s="108" t="s">
        <v>448</v>
      </c>
      <c r="F64" s="202" t="s">
        <v>43</v>
      </c>
      <c r="G64" s="197"/>
      <c r="H64" s="208"/>
      <c r="I64" s="214">
        <f t="shared" si="13"/>
        <v>3</v>
      </c>
      <c r="J64" s="215">
        <f t="shared" si="14"/>
        <v>0</v>
      </c>
      <c r="K64" s="210">
        <f t="shared" ref="K64:K68" si="20">I64*J64</f>
        <v>0</v>
      </c>
      <c r="L64" s="36"/>
    </row>
    <row r="65" spans="2:12" ht="30" customHeight="1" x14ac:dyDescent="0.25">
      <c r="B65" s="97" t="str">
        <f t="shared" si="17"/>
        <v>MGen</v>
      </c>
      <c r="C65" s="98">
        <f>IF(ISTEXT(D65),MAX($C$6:$C64)+1,"")</f>
        <v>57</v>
      </c>
      <c r="D65" s="99" t="s">
        <v>10</v>
      </c>
      <c r="E65" s="108" t="s">
        <v>105</v>
      </c>
      <c r="F65" s="202" t="s">
        <v>43</v>
      </c>
      <c r="G65" s="197"/>
      <c r="H65" s="208"/>
      <c r="I65" s="214">
        <f t="shared" si="13"/>
        <v>2</v>
      </c>
      <c r="J65" s="215">
        <f t="shared" si="14"/>
        <v>0</v>
      </c>
      <c r="K65" s="210">
        <f t="shared" si="20"/>
        <v>0</v>
      </c>
      <c r="L65" s="36"/>
    </row>
    <row r="66" spans="2:12" ht="30" customHeight="1" x14ac:dyDescent="0.25">
      <c r="B66" s="97" t="str">
        <f t="shared" si="17"/>
        <v>MGen</v>
      </c>
      <c r="C66" s="98">
        <f>IF(ISTEXT(D66),MAX($C$6:$C65)+1,"")</f>
        <v>58</v>
      </c>
      <c r="D66" s="99" t="s">
        <v>10</v>
      </c>
      <c r="E66" s="108" t="s">
        <v>449</v>
      </c>
      <c r="F66" s="202" t="s">
        <v>43</v>
      </c>
      <c r="G66" s="197"/>
      <c r="H66" s="208"/>
      <c r="I66" s="214">
        <f t="shared" si="13"/>
        <v>2</v>
      </c>
      <c r="J66" s="215">
        <f t="shared" si="14"/>
        <v>0</v>
      </c>
      <c r="K66" s="210">
        <f t="shared" si="20"/>
        <v>0</v>
      </c>
      <c r="L66" s="36"/>
    </row>
    <row r="67" spans="2:12" ht="30" customHeight="1" x14ac:dyDescent="0.25">
      <c r="B67" s="97" t="str">
        <f t="shared" si="17"/>
        <v>MGen</v>
      </c>
      <c r="C67" s="98">
        <f>IF(ISTEXT(D67),MAX($C$6:$C66)+1,"")</f>
        <v>59</v>
      </c>
      <c r="D67" s="99" t="s">
        <v>10</v>
      </c>
      <c r="E67" s="108" t="s">
        <v>450</v>
      </c>
      <c r="F67" s="202" t="s">
        <v>43</v>
      </c>
      <c r="G67" s="197"/>
      <c r="H67" s="208"/>
      <c r="I67" s="214">
        <f t="shared" si="13"/>
        <v>2</v>
      </c>
      <c r="J67" s="215">
        <f t="shared" si="14"/>
        <v>0</v>
      </c>
      <c r="K67" s="210">
        <f t="shared" si="20"/>
        <v>0</v>
      </c>
      <c r="L67" s="36"/>
    </row>
    <row r="68" spans="2:12" ht="30" customHeight="1" x14ac:dyDescent="0.25">
      <c r="B68" s="97" t="str">
        <f t="shared" si="17"/>
        <v>MGen</v>
      </c>
      <c r="C68" s="98">
        <f>IF(ISTEXT(D68),MAX($C$6:$C67)+1,"")</f>
        <v>60</v>
      </c>
      <c r="D68" s="99" t="s">
        <v>10</v>
      </c>
      <c r="E68" s="108" t="s">
        <v>106</v>
      </c>
      <c r="F68" s="202" t="s">
        <v>43</v>
      </c>
      <c r="G68" s="197"/>
      <c r="H68" s="208"/>
      <c r="I68" s="214">
        <f t="shared" si="13"/>
        <v>2</v>
      </c>
      <c r="J68" s="215">
        <f t="shared" si="14"/>
        <v>0</v>
      </c>
      <c r="K68" s="210">
        <f t="shared" si="20"/>
        <v>0</v>
      </c>
      <c r="L68" s="36"/>
    </row>
    <row r="69" spans="2:12" ht="30" customHeight="1" x14ac:dyDescent="0.25">
      <c r="B69" s="97" t="str">
        <f t="shared" si="17"/>
        <v>MGen</v>
      </c>
      <c r="C69" s="98">
        <f>IF(ISTEXT(D69),MAX($C$6:$C68)+1,"")</f>
        <v>61</v>
      </c>
      <c r="D69" s="99" t="s">
        <v>10</v>
      </c>
      <c r="E69" s="108" t="s">
        <v>451</v>
      </c>
      <c r="F69" s="202" t="s">
        <v>43</v>
      </c>
      <c r="G69" s="197"/>
      <c r="H69" s="208"/>
      <c r="I69" s="214">
        <f t="shared" si="13"/>
        <v>2</v>
      </c>
      <c r="J69" s="215">
        <f t="shared" si="14"/>
        <v>0</v>
      </c>
      <c r="K69" s="210">
        <f>I69*J69</f>
        <v>0</v>
      </c>
      <c r="L69" s="36"/>
    </row>
    <row r="70" spans="2:12" ht="30" customHeight="1" x14ac:dyDescent="0.25">
      <c r="B70" s="97" t="str">
        <f t="shared" si="17"/>
        <v>MGen</v>
      </c>
      <c r="C70" s="98">
        <f>IF(ISTEXT(D70),MAX($C$6:$C69)+1,"")</f>
        <v>62</v>
      </c>
      <c r="D70" s="99" t="s">
        <v>9</v>
      </c>
      <c r="E70" s="108" t="s">
        <v>515</v>
      </c>
      <c r="F70" s="202" t="s">
        <v>43</v>
      </c>
      <c r="G70" s="197"/>
      <c r="H70" s="208"/>
      <c r="I70" s="214">
        <f t="shared" si="13"/>
        <v>3</v>
      </c>
      <c r="J70" s="215">
        <f t="shared" si="14"/>
        <v>0</v>
      </c>
      <c r="K70" s="210">
        <f t="shared" ref="K70:K74" si="21">I70*J70</f>
        <v>0</v>
      </c>
      <c r="L70" s="36"/>
    </row>
    <row r="71" spans="2:12" ht="30" customHeight="1" x14ac:dyDescent="0.25">
      <c r="B71" s="97" t="str">
        <f t="shared" si="17"/>
        <v>MGen</v>
      </c>
      <c r="C71" s="98">
        <f>IF(ISTEXT(D71),MAX($C$6:$C70)+1,"")</f>
        <v>63</v>
      </c>
      <c r="D71" s="99" t="s">
        <v>9</v>
      </c>
      <c r="E71" s="108" t="s">
        <v>453</v>
      </c>
      <c r="F71" s="202" t="s">
        <v>43</v>
      </c>
      <c r="G71" s="197"/>
      <c r="H71" s="208"/>
      <c r="I71" s="214">
        <f t="shared" si="13"/>
        <v>3</v>
      </c>
      <c r="J71" s="215">
        <f t="shared" si="14"/>
        <v>0</v>
      </c>
      <c r="K71" s="210">
        <f t="shared" si="21"/>
        <v>0</v>
      </c>
      <c r="L71" s="36"/>
    </row>
    <row r="72" spans="2:12" ht="30" customHeight="1" x14ac:dyDescent="0.25">
      <c r="B72" s="97" t="str">
        <f t="shared" si="17"/>
        <v>MGen</v>
      </c>
      <c r="C72" s="98">
        <f>IF(ISTEXT(D72),MAX($C$6:$C71)+1,"")</f>
        <v>64</v>
      </c>
      <c r="D72" s="99" t="s">
        <v>10</v>
      </c>
      <c r="E72" s="108" t="s">
        <v>454</v>
      </c>
      <c r="F72" s="202" t="s">
        <v>43</v>
      </c>
      <c r="G72" s="197"/>
      <c r="H72" s="208"/>
      <c r="I72" s="214">
        <f t="shared" si="13"/>
        <v>2</v>
      </c>
      <c r="J72" s="215">
        <f t="shared" si="14"/>
        <v>0</v>
      </c>
      <c r="K72" s="210">
        <f t="shared" si="21"/>
        <v>0</v>
      </c>
      <c r="L72" s="36"/>
    </row>
    <row r="73" spans="2:12" ht="30" customHeight="1" x14ac:dyDescent="0.25">
      <c r="B73" s="97" t="str">
        <f t="shared" si="17"/>
        <v>MGen</v>
      </c>
      <c r="C73" s="98">
        <f>IF(ISTEXT(D73),MAX($C$6:$C72)+1,"")</f>
        <v>65</v>
      </c>
      <c r="D73" s="99" t="s">
        <v>9</v>
      </c>
      <c r="E73" s="108" t="s">
        <v>455</v>
      </c>
      <c r="F73" s="202" t="s">
        <v>43</v>
      </c>
      <c r="G73" s="197"/>
      <c r="H73" s="208"/>
      <c r="I73" s="214">
        <f t="shared" si="13"/>
        <v>3</v>
      </c>
      <c r="J73" s="215">
        <f t="shared" si="14"/>
        <v>0</v>
      </c>
      <c r="K73" s="210">
        <f t="shared" si="21"/>
        <v>0</v>
      </c>
      <c r="L73" s="36"/>
    </row>
    <row r="74" spans="2:12" ht="47.45" customHeight="1" x14ac:dyDescent="0.25">
      <c r="B74" s="97" t="str">
        <f t="shared" si="17"/>
        <v>MGen</v>
      </c>
      <c r="C74" s="98">
        <f>IF(ISTEXT(D74),MAX($C$6:$C73)+1,"")</f>
        <v>66</v>
      </c>
      <c r="D74" s="99" t="s">
        <v>10</v>
      </c>
      <c r="E74" s="108" t="s">
        <v>456</v>
      </c>
      <c r="F74" s="202" t="s">
        <v>43</v>
      </c>
      <c r="G74" s="197"/>
      <c r="H74" s="208"/>
      <c r="I74" s="214">
        <f t="shared" si="13"/>
        <v>2</v>
      </c>
      <c r="J74" s="215">
        <f t="shared" si="14"/>
        <v>0</v>
      </c>
      <c r="K74" s="210">
        <f t="shared" si="21"/>
        <v>0</v>
      </c>
      <c r="L74" s="36"/>
    </row>
    <row r="75" spans="2:12" ht="45" customHeight="1" x14ac:dyDescent="0.25">
      <c r="B75" s="97" t="str">
        <f t="shared" si="17"/>
        <v>MGen</v>
      </c>
      <c r="C75" s="98">
        <f>IF(ISTEXT(D75),MAX($C$6:$C74)+1,"")</f>
        <v>67</v>
      </c>
      <c r="D75" s="99" t="s">
        <v>10</v>
      </c>
      <c r="E75" s="108" t="s">
        <v>457</v>
      </c>
      <c r="F75" s="202" t="s">
        <v>43</v>
      </c>
      <c r="G75" s="197"/>
      <c r="H75" s="208"/>
      <c r="I75" s="214">
        <f t="shared" si="13"/>
        <v>2</v>
      </c>
      <c r="J75" s="215">
        <f t="shared" si="14"/>
        <v>0</v>
      </c>
      <c r="K75" s="210">
        <f>I75*J75</f>
        <v>0</v>
      </c>
      <c r="L75" s="36"/>
    </row>
    <row r="76" spans="2:12" ht="30" customHeight="1" x14ac:dyDescent="0.25">
      <c r="B76" s="97" t="str">
        <f t="shared" si="17"/>
        <v>MGen</v>
      </c>
      <c r="C76" s="98">
        <f>IF(ISTEXT(D76),MAX($C$6:$C75)+1,"")</f>
        <v>68</v>
      </c>
      <c r="D76" s="99" t="s">
        <v>9</v>
      </c>
      <c r="E76" s="108" t="s">
        <v>458</v>
      </c>
      <c r="F76" s="202" t="s">
        <v>43</v>
      </c>
      <c r="G76" s="197"/>
      <c r="H76" s="208"/>
      <c r="I76" s="214">
        <f t="shared" si="13"/>
        <v>3</v>
      </c>
      <c r="J76" s="215">
        <f t="shared" si="14"/>
        <v>0</v>
      </c>
      <c r="K76" s="210">
        <f t="shared" ref="K76:K80" si="22">I76*J76</f>
        <v>0</v>
      </c>
      <c r="L76" s="36"/>
    </row>
    <row r="77" spans="2:12" ht="30" customHeight="1" x14ac:dyDescent="0.25">
      <c r="B77" s="97" t="str">
        <f t="shared" si="17"/>
        <v>MGen</v>
      </c>
      <c r="C77" s="98">
        <f>IF(ISTEXT(D77),MAX($C$6:$C76)+1,"")</f>
        <v>69</v>
      </c>
      <c r="D77" s="99" t="s">
        <v>9</v>
      </c>
      <c r="E77" s="108" t="s">
        <v>516</v>
      </c>
      <c r="F77" s="202" t="s">
        <v>43</v>
      </c>
      <c r="G77" s="197"/>
      <c r="H77" s="208"/>
      <c r="I77" s="214">
        <f t="shared" si="13"/>
        <v>3</v>
      </c>
      <c r="J77" s="215">
        <f t="shared" si="14"/>
        <v>0</v>
      </c>
      <c r="K77" s="210">
        <f t="shared" si="22"/>
        <v>0</v>
      </c>
      <c r="L77" s="36"/>
    </row>
    <row r="78" spans="2:12" ht="30" customHeight="1" x14ac:dyDescent="0.25">
      <c r="B78" s="97" t="str">
        <f t="shared" si="17"/>
        <v>MGen</v>
      </c>
      <c r="C78" s="98">
        <f>IF(ISTEXT(D78),MAX($C$6:$C77)+1,"")</f>
        <v>70</v>
      </c>
      <c r="D78" s="99" t="s">
        <v>9</v>
      </c>
      <c r="E78" s="108" t="s">
        <v>107</v>
      </c>
      <c r="F78" s="202" t="s">
        <v>43</v>
      </c>
      <c r="G78" s="197"/>
      <c r="H78" s="208"/>
      <c r="I78" s="214">
        <f t="shared" si="13"/>
        <v>3</v>
      </c>
      <c r="J78" s="215">
        <f t="shared" si="14"/>
        <v>0</v>
      </c>
      <c r="K78" s="210">
        <f t="shared" si="22"/>
        <v>0</v>
      </c>
      <c r="L78" s="36"/>
    </row>
    <row r="79" spans="2:12" ht="30" customHeight="1" x14ac:dyDescent="0.25">
      <c r="B79" s="97" t="str">
        <f t="shared" si="17"/>
        <v>MGen</v>
      </c>
      <c r="C79" s="98">
        <f>IF(ISTEXT(D79),MAX($C$6:$C78)+1,"")</f>
        <v>71</v>
      </c>
      <c r="D79" s="99" t="s">
        <v>10</v>
      </c>
      <c r="E79" s="108" t="s">
        <v>108</v>
      </c>
      <c r="F79" s="202" t="s">
        <v>43</v>
      </c>
      <c r="G79" s="197"/>
      <c r="H79" s="208"/>
      <c r="I79" s="214">
        <f t="shared" si="13"/>
        <v>2</v>
      </c>
      <c r="J79" s="215">
        <f t="shared" si="14"/>
        <v>0</v>
      </c>
      <c r="K79" s="210">
        <f t="shared" si="22"/>
        <v>0</v>
      </c>
      <c r="L79" s="36"/>
    </row>
    <row r="80" spans="2:12" ht="30" customHeight="1" x14ac:dyDescent="0.25">
      <c r="B80" s="97" t="str">
        <f t="shared" si="17"/>
        <v>MGen</v>
      </c>
      <c r="C80" s="98">
        <f>IF(ISTEXT(D80),MAX($C$6:$C79)+1,"")</f>
        <v>72</v>
      </c>
      <c r="D80" s="99" t="s">
        <v>9</v>
      </c>
      <c r="E80" s="108" t="s">
        <v>109</v>
      </c>
      <c r="F80" s="202" t="s">
        <v>43</v>
      </c>
      <c r="G80" s="197"/>
      <c r="H80" s="208"/>
      <c r="I80" s="214">
        <f t="shared" si="13"/>
        <v>3</v>
      </c>
      <c r="J80" s="215">
        <f t="shared" si="14"/>
        <v>0</v>
      </c>
      <c r="K80" s="210">
        <f t="shared" si="22"/>
        <v>0</v>
      </c>
      <c r="L80" s="36"/>
    </row>
    <row r="81" spans="2:12" ht="42.75" x14ac:dyDescent="0.25">
      <c r="B81" s="97" t="str">
        <f t="shared" si="17"/>
        <v>MGen</v>
      </c>
      <c r="C81" s="98">
        <f>IF(ISTEXT(D81),MAX($C$6:$C80)+1,"")</f>
        <v>73</v>
      </c>
      <c r="D81" s="99" t="s">
        <v>9</v>
      </c>
      <c r="E81" s="108" t="s">
        <v>517</v>
      </c>
      <c r="F81" s="202" t="s">
        <v>43</v>
      </c>
      <c r="G81" s="197"/>
      <c r="H81" s="208"/>
      <c r="I81" s="214">
        <f>VLOOKUP($D81,SpecData,2,FALSE)</f>
        <v>3</v>
      </c>
      <c r="J81" s="215">
        <f>VLOOKUP($F81,AvailabilityData,2,FALSE)</f>
        <v>0</v>
      </c>
      <c r="K81" s="210">
        <f t="shared" ref="K81:K82" si="23">I81*J81</f>
        <v>0</v>
      </c>
      <c r="L81" s="36"/>
    </row>
    <row r="82" spans="2:12" ht="28.5" x14ac:dyDescent="0.25">
      <c r="B82" s="97" t="str">
        <f t="shared" si="17"/>
        <v>MGen</v>
      </c>
      <c r="C82" s="98">
        <f>IF(ISTEXT(D82),MAX($C$6:$C81)+1,"")</f>
        <v>74</v>
      </c>
      <c r="D82" s="99" t="s">
        <v>9</v>
      </c>
      <c r="E82" s="108" t="s">
        <v>459</v>
      </c>
      <c r="F82" s="202" t="s">
        <v>43</v>
      </c>
      <c r="G82" s="197"/>
      <c r="H82" s="208"/>
      <c r="I82" s="214">
        <f>VLOOKUP($D82,SpecData,2,FALSE)</f>
        <v>3</v>
      </c>
      <c r="J82" s="215">
        <f>VLOOKUP($F82,AvailabilityData,2,FALSE)</f>
        <v>0</v>
      </c>
      <c r="K82" s="210">
        <f t="shared" si="23"/>
        <v>0</v>
      </c>
      <c r="L82" s="36"/>
    </row>
    <row r="83" spans="2:12" ht="44.45" customHeight="1" x14ac:dyDescent="0.25">
      <c r="B83" s="97" t="str">
        <f t="shared" si="17"/>
        <v>MGen</v>
      </c>
      <c r="C83" s="98">
        <f>IF(ISTEXT(D83),MAX($C$6:$C82)+1,"")</f>
        <v>75</v>
      </c>
      <c r="D83" s="99" t="s">
        <v>9</v>
      </c>
      <c r="E83" s="108" t="s">
        <v>110</v>
      </c>
      <c r="F83" s="202" t="s">
        <v>43</v>
      </c>
      <c r="G83" s="197"/>
      <c r="H83" s="208"/>
      <c r="I83" s="214">
        <f t="shared" si="13"/>
        <v>3</v>
      </c>
      <c r="J83" s="215">
        <f t="shared" si="14"/>
        <v>0</v>
      </c>
      <c r="K83" s="210">
        <f>I83*J83</f>
        <v>0</v>
      </c>
      <c r="L83" s="36"/>
    </row>
    <row r="84" spans="2:12" ht="30" customHeight="1" x14ac:dyDescent="0.25">
      <c r="B84" s="97" t="str">
        <f t="shared" si="17"/>
        <v>MGen</v>
      </c>
      <c r="C84" s="98">
        <f>IF(ISTEXT(D84),MAX($C$6:$C83)+1,"")</f>
        <v>76</v>
      </c>
      <c r="D84" s="99" t="s">
        <v>9</v>
      </c>
      <c r="E84" s="108" t="s">
        <v>111</v>
      </c>
      <c r="F84" s="202" t="s">
        <v>43</v>
      </c>
      <c r="G84" s="197"/>
      <c r="H84" s="208"/>
      <c r="I84" s="214">
        <f t="shared" si="13"/>
        <v>3</v>
      </c>
      <c r="J84" s="215">
        <f t="shared" si="14"/>
        <v>0</v>
      </c>
      <c r="K84" s="210">
        <f t="shared" ref="K84:K88" si="24">I84*J84</f>
        <v>0</v>
      </c>
      <c r="L84" s="36"/>
    </row>
    <row r="85" spans="2:12" ht="30" customHeight="1" x14ac:dyDescent="0.25">
      <c r="B85" s="97" t="str">
        <f t="shared" si="17"/>
        <v>MGen</v>
      </c>
      <c r="C85" s="98">
        <f>IF(ISTEXT(D85),MAX($C$6:$C84)+1,"")</f>
        <v>77</v>
      </c>
      <c r="D85" s="99" t="s">
        <v>10</v>
      </c>
      <c r="E85" s="108" t="s">
        <v>112</v>
      </c>
      <c r="F85" s="202" t="s">
        <v>43</v>
      </c>
      <c r="G85" s="197"/>
      <c r="H85" s="208"/>
      <c r="I85" s="214">
        <f t="shared" si="13"/>
        <v>2</v>
      </c>
      <c r="J85" s="215">
        <f t="shared" si="14"/>
        <v>0</v>
      </c>
      <c r="K85" s="210">
        <f t="shared" si="24"/>
        <v>0</v>
      </c>
      <c r="L85" s="36"/>
    </row>
    <row r="86" spans="2:12" ht="30" customHeight="1" x14ac:dyDescent="0.25">
      <c r="B86" s="97" t="str">
        <f t="shared" si="17"/>
        <v>MGen</v>
      </c>
      <c r="C86" s="98">
        <f>IF(ISTEXT(D86),MAX($C$6:$C85)+1,"")</f>
        <v>78</v>
      </c>
      <c r="D86" s="99" t="s">
        <v>9</v>
      </c>
      <c r="E86" s="108" t="s">
        <v>113</v>
      </c>
      <c r="F86" s="202" t="s">
        <v>43</v>
      </c>
      <c r="G86" s="197"/>
      <c r="H86" s="208"/>
      <c r="I86" s="214">
        <f t="shared" si="13"/>
        <v>3</v>
      </c>
      <c r="J86" s="215">
        <f t="shared" si="14"/>
        <v>0</v>
      </c>
      <c r="K86" s="210">
        <f t="shared" si="24"/>
        <v>0</v>
      </c>
      <c r="L86" s="36"/>
    </row>
    <row r="87" spans="2:12" ht="30" customHeight="1" x14ac:dyDescent="0.25">
      <c r="B87" s="97" t="str">
        <f t="shared" si="17"/>
        <v>MGen</v>
      </c>
      <c r="C87" s="98">
        <f>IF(ISTEXT(D87),MAX($C$6:$C86)+1,"")</f>
        <v>79</v>
      </c>
      <c r="D87" s="99" t="s">
        <v>9</v>
      </c>
      <c r="E87" s="108" t="s">
        <v>114</v>
      </c>
      <c r="F87" s="202" t="s">
        <v>43</v>
      </c>
      <c r="G87" s="197"/>
      <c r="H87" s="208"/>
      <c r="I87" s="214">
        <f t="shared" si="13"/>
        <v>3</v>
      </c>
      <c r="J87" s="215">
        <f t="shared" si="14"/>
        <v>0</v>
      </c>
      <c r="K87" s="210">
        <f t="shared" si="24"/>
        <v>0</v>
      </c>
      <c r="L87" s="36"/>
    </row>
    <row r="88" spans="2:12" ht="42.75" x14ac:dyDescent="0.25">
      <c r="B88" s="97" t="str">
        <f t="shared" si="17"/>
        <v>MGen</v>
      </c>
      <c r="C88" s="98">
        <f>IF(ISTEXT(D88),MAX($C$6:$C87)+1,"")</f>
        <v>80</v>
      </c>
      <c r="D88" s="99" t="s">
        <v>10</v>
      </c>
      <c r="E88" s="108" t="s">
        <v>115</v>
      </c>
      <c r="F88" s="202" t="s">
        <v>43</v>
      </c>
      <c r="G88" s="197"/>
      <c r="H88" s="208"/>
      <c r="I88" s="214">
        <f t="shared" si="13"/>
        <v>2</v>
      </c>
      <c r="J88" s="215">
        <f t="shared" si="14"/>
        <v>0</v>
      </c>
      <c r="K88" s="210">
        <f t="shared" si="24"/>
        <v>0</v>
      </c>
      <c r="L88" s="36"/>
    </row>
    <row r="89" spans="2:12" ht="30" customHeight="1" x14ac:dyDescent="0.25">
      <c r="B89" s="97" t="str">
        <f t="shared" si="17"/>
        <v>MGen</v>
      </c>
      <c r="C89" s="98">
        <f>IF(ISTEXT(D89),MAX($C$6:$C88)+1,"")</f>
        <v>81</v>
      </c>
      <c r="D89" s="99" t="s">
        <v>10</v>
      </c>
      <c r="E89" s="108" t="s">
        <v>116</v>
      </c>
      <c r="F89" s="202" t="s">
        <v>43</v>
      </c>
      <c r="G89" s="197"/>
      <c r="H89" s="208"/>
      <c r="I89" s="214">
        <f t="shared" si="13"/>
        <v>2</v>
      </c>
      <c r="J89" s="215">
        <f t="shared" si="14"/>
        <v>0</v>
      </c>
      <c r="K89" s="210">
        <f>I89*J89</f>
        <v>0</v>
      </c>
      <c r="L89" s="36"/>
    </row>
    <row r="90" spans="2:12" ht="46.9" customHeight="1" x14ac:dyDescent="0.25">
      <c r="B90" s="97" t="str">
        <f t="shared" si="17"/>
        <v>MGen</v>
      </c>
      <c r="C90" s="98">
        <f>IF(ISTEXT(D90),MAX($C$6:$C89)+1,"")</f>
        <v>82</v>
      </c>
      <c r="D90" s="99" t="s">
        <v>10</v>
      </c>
      <c r="E90" s="108" t="s">
        <v>117</v>
      </c>
      <c r="F90" s="202" t="s">
        <v>43</v>
      </c>
      <c r="G90" s="197"/>
      <c r="H90" s="208"/>
      <c r="I90" s="214">
        <f t="shared" si="13"/>
        <v>2</v>
      </c>
      <c r="J90" s="215">
        <f t="shared" si="14"/>
        <v>0</v>
      </c>
      <c r="K90" s="210">
        <f t="shared" ref="K90:K94" si="25">I90*J90</f>
        <v>0</v>
      </c>
      <c r="L90" s="36"/>
    </row>
    <row r="91" spans="2:12" ht="30" customHeight="1" x14ac:dyDescent="0.25">
      <c r="B91" s="97" t="str">
        <f t="shared" si="17"/>
        <v>MGen</v>
      </c>
      <c r="C91" s="98">
        <f>IF(ISTEXT(D91),MAX($C$6:$C90)+1,"")</f>
        <v>83</v>
      </c>
      <c r="D91" s="99" t="s">
        <v>10</v>
      </c>
      <c r="E91" s="108" t="s">
        <v>460</v>
      </c>
      <c r="F91" s="202" t="s">
        <v>43</v>
      </c>
      <c r="G91" s="197"/>
      <c r="H91" s="208"/>
      <c r="I91" s="214">
        <f t="shared" si="13"/>
        <v>2</v>
      </c>
      <c r="J91" s="215">
        <f t="shared" si="14"/>
        <v>0</v>
      </c>
      <c r="K91" s="210">
        <f t="shared" si="25"/>
        <v>0</v>
      </c>
      <c r="L91" s="36"/>
    </row>
    <row r="92" spans="2:12" ht="30" customHeight="1" x14ac:dyDescent="0.25">
      <c r="B92" s="97" t="str">
        <f t="shared" si="17"/>
        <v>MGen</v>
      </c>
      <c r="C92" s="98">
        <f>IF(ISTEXT(D92),MAX($C$6:$C91)+1,"")</f>
        <v>84</v>
      </c>
      <c r="D92" s="99" t="s">
        <v>9</v>
      </c>
      <c r="E92" s="108" t="s">
        <v>461</v>
      </c>
      <c r="F92" s="202" t="s">
        <v>43</v>
      </c>
      <c r="G92" s="197"/>
      <c r="H92" s="208"/>
      <c r="I92" s="214">
        <f t="shared" si="13"/>
        <v>3</v>
      </c>
      <c r="J92" s="215">
        <f t="shared" si="14"/>
        <v>0</v>
      </c>
      <c r="K92" s="210">
        <f t="shared" si="25"/>
        <v>0</v>
      </c>
      <c r="L92" s="36"/>
    </row>
    <row r="93" spans="2:12" ht="30" customHeight="1" x14ac:dyDescent="0.25">
      <c r="B93" s="97" t="str">
        <f t="shared" si="17"/>
        <v>MGen</v>
      </c>
      <c r="C93" s="98">
        <f>IF(ISTEXT(D93),MAX($C$6:$C92)+1,"")</f>
        <v>85</v>
      </c>
      <c r="D93" s="99" t="s">
        <v>9</v>
      </c>
      <c r="E93" s="108" t="s">
        <v>462</v>
      </c>
      <c r="F93" s="202" t="s">
        <v>43</v>
      </c>
      <c r="G93" s="197"/>
      <c r="H93" s="208"/>
      <c r="I93" s="214">
        <f t="shared" si="13"/>
        <v>3</v>
      </c>
      <c r="J93" s="215">
        <f t="shared" si="14"/>
        <v>0</v>
      </c>
      <c r="K93" s="210">
        <f t="shared" si="25"/>
        <v>0</v>
      </c>
      <c r="L93" s="36"/>
    </row>
    <row r="94" spans="2:12" ht="30" customHeight="1" x14ac:dyDescent="0.25">
      <c r="B94" s="97" t="str">
        <f t="shared" si="17"/>
        <v>MGen</v>
      </c>
      <c r="C94" s="98">
        <f>IF(ISTEXT(D94),MAX($C$6:$C93)+1,"")</f>
        <v>86</v>
      </c>
      <c r="D94" s="99" t="s">
        <v>9</v>
      </c>
      <c r="E94" s="108" t="s">
        <v>463</v>
      </c>
      <c r="F94" s="202" t="s">
        <v>43</v>
      </c>
      <c r="G94" s="197"/>
      <c r="H94" s="208"/>
      <c r="I94" s="214">
        <f t="shared" si="13"/>
        <v>3</v>
      </c>
      <c r="J94" s="215">
        <f t="shared" si="14"/>
        <v>0</v>
      </c>
      <c r="K94" s="210">
        <f t="shared" si="25"/>
        <v>0</v>
      </c>
      <c r="L94" s="36"/>
    </row>
    <row r="95" spans="2:12" ht="30" customHeight="1" x14ac:dyDescent="0.25">
      <c r="B95" s="97" t="str">
        <f t="shared" si="17"/>
        <v>MGen</v>
      </c>
      <c r="C95" s="98">
        <f>IF(ISTEXT(D95),MAX($C$6:$C94)+1,"")</f>
        <v>87</v>
      </c>
      <c r="D95" s="99" t="s">
        <v>10</v>
      </c>
      <c r="E95" s="108" t="s">
        <v>464</v>
      </c>
      <c r="F95" s="202" t="s">
        <v>43</v>
      </c>
      <c r="G95" s="197"/>
      <c r="H95" s="208"/>
      <c r="I95" s="214">
        <f t="shared" si="13"/>
        <v>2</v>
      </c>
      <c r="J95" s="215">
        <f t="shared" si="14"/>
        <v>0</v>
      </c>
      <c r="K95" s="210">
        <f>I95*J95</f>
        <v>0</v>
      </c>
      <c r="L95" s="36"/>
    </row>
    <row r="96" spans="2:12" ht="30" customHeight="1" x14ac:dyDescent="0.25">
      <c r="B96" s="97" t="str">
        <f t="shared" si="17"/>
        <v>MGen</v>
      </c>
      <c r="C96" s="98">
        <f>IF(ISTEXT(D96),MAX($C$6:$C95)+1,"")</f>
        <v>88</v>
      </c>
      <c r="D96" s="99" t="s">
        <v>9</v>
      </c>
      <c r="E96" s="108" t="s">
        <v>465</v>
      </c>
      <c r="F96" s="202" t="s">
        <v>43</v>
      </c>
      <c r="G96" s="197"/>
      <c r="H96" s="208"/>
      <c r="I96" s="214">
        <f t="shared" si="13"/>
        <v>3</v>
      </c>
      <c r="J96" s="215">
        <f t="shared" si="14"/>
        <v>0</v>
      </c>
      <c r="K96" s="210">
        <f t="shared" ref="K96:K102" si="26">I96*J96</f>
        <v>0</v>
      </c>
      <c r="L96" s="36"/>
    </row>
    <row r="97" spans="2:12" ht="30" customHeight="1" x14ac:dyDescent="0.25">
      <c r="B97" s="97" t="str">
        <f t="shared" si="17"/>
        <v>MGen</v>
      </c>
      <c r="C97" s="98">
        <f>IF(ISTEXT(D97),MAX($C$6:$C96)+1,"")</f>
        <v>89</v>
      </c>
      <c r="D97" s="99" t="s">
        <v>10</v>
      </c>
      <c r="E97" s="108" t="s">
        <v>466</v>
      </c>
      <c r="F97" s="202" t="s">
        <v>43</v>
      </c>
      <c r="G97" s="197"/>
      <c r="H97" s="208"/>
      <c r="I97" s="214">
        <f t="shared" si="13"/>
        <v>2</v>
      </c>
      <c r="J97" s="215">
        <f t="shared" si="14"/>
        <v>0</v>
      </c>
      <c r="K97" s="210">
        <f t="shared" si="26"/>
        <v>0</v>
      </c>
      <c r="L97" s="36"/>
    </row>
    <row r="98" spans="2:12" ht="30" customHeight="1" x14ac:dyDescent="0.25">
      <c r="B98" s="97" t="str">
        <f t="shared" si="17"/>
        <v>MGen</v>
      </c>
      <c r="C98" s="98">
        <f>IF(ISTEXT(D98),MAX($C$6:$C97)+1,"")</f>
        <v>90</v>
      </c>
      <c r="D98" s="99" t="s">
        <v>9</v>
      </c>
      <c r="E98" s="108" t="s">
        <v>467</v>
      </c>
      <c r="F98" s="202" t="s">
        <v>43</v>
      </c>
      <c r="G98" s="197"/>
      <c r="H98" s="208"/>
      <c r="I98" s="214">
        <f t="shared" si="13"/>
        <v>3</v>
      </c>
      <c r="J98" s="215">
        <f t="shared" si="14"/>
        <v>0</v>
      </c>
      <c r="K98" s="210">
        <f t="shared" si="26"/>
        <v>0</v>
      </c>
      <c r="L98" s="36"/>
    </row>
    <row r="99" spans="2:12" ht="30" customHeight="1" x14ac:dyDescent="0.25">
      <c r="B99" s="97" t="str">
        <f t="shared" si="17"/>
        <v>MGen</v>
      </c>
      <c r="C99" s="98">
        <f>IF(ISTEXT(D99),MAX($C$6:$C98)+1,"")</f>
        <v>91</v>
      </c>
      <c r="D99" s="99" t="s">
        <v>9</v>
      </c>
      <c r="E99" s="108" t="s">
        <v>468</v>
      </c>
      <c r="F99" s="202" t="s">
        <v>43</v>
      </c>
      <c r="G99" s="197"/>
      <c r="H99" s="208"/>
      <c r="I99" s="214">
        <f t="shared" si="13"/>
        <v>3</v>
      </c>
      <c r="J99" s="215">
        <f t="shared" si="14"/>
        <v>0</v>
      </c>
      <c r="K99" s="210">
        <f t="shared" si="26"/>
        <v>0</v>
      </c>
      <c r="L99" s="36"/>
    </row>
    <row r="100" spans="2:12" ht="30" customHeight="1" x14ac:dyDescent="0.25">
      <c r="B100" s="97" t="str">
        <f t="shared" si="17"/>
        <v>MGen</v>
      </c>
      <c r="C100" s="98">
        <f>IF(ISTEXT(D100),MAX($C$6:$C99)+1,"")</f>
        <v>92</v>
      </c>
      <c r="D100" s="99" t="s">
        <v>9</v>
      </c>
      <c r="E100" s="108" t="s">
        <v>469</v>
      </c>
      <c r="F100" s="202" t="s">
        <v>43</v>
      </c>
      <c r="G100" s="197"/>
      <c r="H100" s="208"/>
      <c r="I100" s="214">
        <f t="shared" si="13"/>
        <v>3</v>
      </c>
      <c r="J100" s="215">
        <f t="shared" si="14"/>
        <v>0</v>
      </c>
      <c r="K100" s="210">
        <f t="shared" si="26"/>
        <v>0</v>
      </c>
      <c r="L100" s="36"/>
    </row>
    <row r="101" spans="2:12" ht="30" customHeight="1" x14ac:dyDescent="0.25">
      <c r="B101" s="97" t="str">
        <f t="shared" si="17"/>
        <v>MGen</v>
      </c>
      <c r="C101" s="98">
        <f>IF(ISTEXT(D101),MAX($C$6:$C100)+1,"")</f>
        <v>93</v>
      </c>
      <c r="D101" s="99" t="s">
        <v>41</v>
      </c>
      <c r="E101" s="108" t="s">
        <v>470</v>
      </c>
      <c r="F101" s="109" t="s">
        <v>43</v>
      </c>
      <c r="G101" s="102"/>
      <c r="H101" s="114"/>
      <c r="I101" s="117">
        <f t="shared" si="13"/>
        <v>0</v>
      </c>
      <c r="J101" s="118">
        <f t="shared" si="14"/>
        <v>0</v>
      </c>
      <c r="K101" s="116">
        <f t="shared" si="26"/>
        <v>0</v>
      </c>
      <c r="L101" s="107"/>
    </row>
    <row r="102" spans="2:12" ht="42.75" x14ac:dyDescent="0.25">
      <c r="B102" s="97" t="str">
        <f t="shared" si="17"/>
        <v>MGen</v>
      </c>
      <c r="C102" s="98">
        <f>IF(ISTEXT(D102),MAX($C$6:$C101)+1,"")</f>
        <v>94</v>
      </c>
      <c r="D102" s="99" t="s">
        <v>11</v>
      </c>
      <c r="E102" s="108" t="s">
        <v>471</v>
      </c>
      <c r="F102" s="202" t="s">
        <v>43</v>
      </c>
      <c r="G102" s="197"/>
      <c r="H102" s="208"/>
      <c r="I102" s="214">
        <f t="shared" si="13"/>
        <v>1</v>
      </c>
      <c r="J102" s="215">
        <f t="shared" si="14"/>
        <v>0</v>
      </c>
      <c r="K102" s="210">
        <f t="shared" si="26"/>
        <v>0</v>
      </c>
      <c r="L102" s="36"/>
    </row>
    <row r="103" spans="2:12" ht="30" customHeight="1" x14ac:dyDescent="0.25">
      <c r="B103" s="97" t="str">
        <f t="shared" si="17"/>
        <v>MGen</v>
      </c>
      <c r="C103" s="98">
        <f>IF(ISTEXT(D103),MAX($C$6:$C102)+1,"")</f>
        <v>95</v>
      </c>
      <c r="D103" s="99" t="s">
        <v>10</v>
      </c>
      <c r="E103" s="108" t="s">
        <v>118</v>
      </c>
      <c r="F103" s="202" t="s">
        <v>43</v>
      </c>
      <c r="G103" s="197"/>
      <c r="H103" s="208"/>
      <c r="I103" s="214">
        <f t="shared" si="13"/>
        <v>2</v>
      </c>
      <c r="J103" s="215">
        <f t="shared" si="14"/>
        <v>0</v>
      </c>
      <c r="K103" s="210">
        <f>I103*J103</f>
        <v>0</v>
      </c>
      <c r="L103" s="36"/>
    </row>
    <row r="104" spans="2:12" ht="49.9" customHeight="1" x14ac:dyDescent="0.25">
      <c r="B104" s="97" t="str">
        <f t="shared" si="17"/>
        <v>MGen</v>
      </c>
      <c r="C104" s="98">
        <f>IF(ISTEXT(D104),MAX($C$6:$C103)+1,"")</f>
        <v>96</v>
      </c>
      <c r="D104" s="99" t="s">
        <v>41</v>
      </c>
      <c r="E104" s="108" t="s">
        <v>119</v>
      </c>
      <c r="F104" s="109" t="s">
        <v>43</v>
      </c>
      <c r="G104" s="102"/>
      <c r="H104" s="114"/>
      <c r="I104" s="117">
        <f t="shared" ref="I104:I173" si="27">VLOOKUP($D104,SpecData,2,FALSE)</f>
        <v>0</v>
      </c>
      <c r="J104" s="118">
        <f t="shared" ref="J104:J173" si="28">VLOOKUP($F104,AvailabilityData,2,FALSE)</f>
        <v>0</v>
      </c>
      <c r="K104" s="116">
        <f t="shared" ref="K104:K112" si="29">I104*J104</f>
        <v>0</v>
      </c>
      <c r="L104" s="107"/>
    </row>
    <row r="105" spans="2:12" ht="30" customHeight="1" x14ac:dyDescent="0.25">
      <c r="B105" s="97" t="str">
        <f t="shared" si="17"/>
        <v>MGen</v>
      </c>
      <c r="C105" s="98">
        <f>IF(ISTEXT(D105),MAX($C$6:$C104)+1,"")</f>
        <v>97</v>
      </c>
      <c r="D105" s="99" t="s">
        <v>10</v>
      </c>
      <c r="E105" s="108" t="s">
        <v>120</v>
      </c>
      <c r="F105" s="202" t="s">
        <v>43</v>
      </c>
      <c r="G105" s="197"/>
      <c r="H105" s="208"/>
      <c r="I105" s="214">
        <f t="shared" si="27"/>
        <v>2</v>
      </c>
      <c r="J105" s="215">
        <f t="shared" si="28"/>
        <v>0</v>
      </c>
      <c r="K105" s="210">
        <f t="shared" si="29"/>
        <v>0</v>
      </c>
      <c r="L105" s="36"/>
    </row>
    <row r="106" spans="2:12" ht="45.6" customHeight="1" x14ac:dyDescent="0.25">
      <c r="B106" s="120" t="str">
        <f t="shared" ref="B106:B107" si="30">IF(C106="","",$B$5)</f>
        <v/>
      </c>
      <c r="C106" s="121" t="str">
        <f>IF(ISTEXT(D106),MAX($C$6:$C105)+1,"")</f>
        <v/>
      </c>
      <c r="D106" s="121"/>
      <c r="E106" s="122" t="s">
        <v>472</v>
      </c>
      <c r="F106" s="123"/>
      <c r="G106" s="123"/>
      <c r="H106" s="123"/>
      <c r="I106" s="123"/>
      <c r="J106" s="123"/>
      <c r="K106" s="123"/>
      <c r="L106" s="119"/>
    </row>
    <row r="107" spans="2:12" ht="30" customHeight="1" x14ac:dyDescent="0.25">
      <c r="B107" s="97" t="str">
        <f t="shared" si="30"/>
        <v>MGen</v>
      </c>
      <c r="C107" s="98">
        <f>IF(ISTEXT(D107),MAX($C$6:$C105)+1,"")</f>
        <v>98</v>
      </c>
      <c r="D107" s="99" t="s">
        <v>11</v>
      </c>
      <c r="E107" s="125" t="s">
        <v>518</v>
      </c>
      <c r="F107" s="202" t="s">
        <v>43</v>
      </c>
      <c r="G107" s="197"/>
      <c r="H107" s="208"/>
      <c r="I107" s="214">
        <f t="shared" si="27"/>
        <v>1</v>
      </c>
      <c r="J107" s="215">
        <f t="shared" si="28"/>
        <v>0</v>
      </c>
      <c r="K107" s="210">
        <f t="shared" ref="K107" si="31">I107*J107</f>
        <v>0</v>
      </c>
      <c r="L107" s="36"/>
    </row>
    <row r="108" spans="2:12" ht="30" customHeight="1" x14ac:dyDescent="0.25">
      <c r="B108" s="97" t="str">
        <f t="shared" ref="B108" si="32">IF(C108="","",$B$5)</f>
        <v>MGen</v>
      </c>
      <c r="C108" s="98">
        <f>IF(ISTEXT(D108),MAX($C$6:$C107)+1,"")</f>
        <v>99</v>
      </c>
      <c r="D108" s="99" t="s">
        <v>10</v>
      </c>
      <c r="E108" s="125" t="s">
        <v>121</v>
      </c>
      <c r="F108" s="202" t="s">
        <v>43</v>
      </c>
      <c r="G108" s="197"/>
      <c r="H108" s="208"/>
      <c r="I108" s="214">
        <f t="shared" si="27"/>
        <v>2</v>
      </c>
      <c r="J108" s="215">
        <f t="shared" si="28"/>
        <v>0</v>
      </c>
      <c r="K108" s="210">
        <f t="shared" ref="K108" si="33">I108*J108</f>
        <v>0</v>
      </c>
      <c r="L108" s="36"/>
    </row>
    <row r="109" spans="2:12" ht="30" customHeight="1" x14ac:dyDescent="0.25">
      <c r="B109" s="97" t="str">
        <f t="shared" si="17"/>
        <v>MGen</v>
      </c>
      <c r="C109" s="98">
        <f>IF(ISTEXT(D109),MAX($C$6:$C108)+1,"")</f>
        <v>100</v>
      </c>
      <c r="D109" s="99" t="s">
        <v>9</v>
      </c>
      <c r="E109" s="125" t="s">
        <v>122</v>
      </c>
      <c r="F109" s="202" t="s">
        <v>43</v>
      </c>
      <c r="G109" s="197"/>
      <c r="H109" s="208"/>
      <c r="I109" s="214">
        <f t="shared" si="27"/>
        <v>3</v>
      </c>
      <c r="J109" s="215">
        <f t="shared" si="28"/>
        <v>0</v>
      </c>
      <c r="K109" s="210">
        <f t="shared" si="29"/>
        <v>0</v>
      </c>
      <c r="L109" s="36"/>
    </row>
    <row r="110" spans="2:12" ht="30" customHeight="1" x14ac:dyDescent="0.25">
      <c r="B110" s="97" t="str">
        <f t="shared" ref="B110" si="34">IF(C110="","",$B$5)</f>
        <v>MGen</v>
      </c>
      <c r="C110" s="98">
        <f>IF(ISTEXT(D110),MAX($C$6:$C109)+1,"")</f>
        <v>101</v>
      </c>
      <c r="D110" s="99" t="s">
        <v>10</v>
      </c>
      <c r="E110" s="125" t="s">
        <v>123</v>
      </c>
      <c r="F110" s="202" t="s">
        <v>43</v>
      </c>
      <c r="G110" s="197"/>
      <c r="H110" s="208"/>
      <c r="I110" s="214">
        <f t="shared" si="27"/>
        <v>2</v>
      </c>
      <c r="J110" s="215">
        <f t="shared" si="28"/>
        <v>0</v>
      </c>
      <c r="K110" s="210">
        <f t="shared" ref="K110" si="35">I110*J110</f>
        <v>0</v>
      </c>
      <c r="L110" s="36"/>
    </row>
    <row r="111" spans="2:12" ht="30" customHeight="1" x14ac:dyDescent="0.25">
      <c r="B111" s="97" t="str">
        <f t="shared" ref="B111:B180" si="36">IF(C111="","",$B$5)</f>
        <v>MGen</v>
      </c>
      <c r="C111" s="98">
        <f>IF(ISTEXT(D111),MAX($C$6:$C110)+1,"")</f>
        <v>102</v>
      </c>
      <c r="D111" s="99" t="s">
        <v>10</v>
      </c>
      <c r="E111" s="108" t="s">
        <v>124</v>
      </c>
      <c r="F111" s="202" t="s">
        <v>43</v>
      </c>
      <c r="G111" s="197"/>
      <c r="H111" s="208"/>
      <c r="I111" s="214">
        <f t="shared" si="27"/>
        <v>2</v>
      </c>
      <c r="J111" s="215">
        <f t="shared" si="28"/>
        <v>0</v>
      </c>
      <c r="K111" s="210">
        <f t="shared" si="29"/>
        <v>0</v>
      </c>
      <c r="L111" s="36"/>
    </row>
    <row r="112" spans="2:12" ht="30" customHeight="1" x14ac:dyDescent="0.25">
      <c r="B112" s="97" t="str">
        <f t="shared" si="36"/>
        <v>MGen</v>
      </c>
      <c r="C112" s="98">
        <f>IF(ISTEXT(D112),MAX($C$6:$C111)+1,"")</f>
        <v>103</v>
      </c>
      <c r="D112" s="99" t="s">
        <v>11</v>
      </c>
      <c r="E112" s="108" t="s">
        <v>125</v>
      </c>
      <c r="F112" s="202" t="s">
        <v>43</v>
      </c>
      <c r="G112" s="197"/>
      <c r="H112" s="208"/>
      <c r="I112" s="214">
        <f t="shared" si="27"/>
        <v>1</v>
      </c>
      <c r="J112" s="215">
        <f t="shared" si="28"/>
        <v>0</v>
      </c>
      <c r="K112" s="210">
        <f t="shared" si="29"/>
        <v>0</v>
      </c>
      <c r="L112" s="36"/>
    </row>
    <row r="113" spans="2:12" ht="57" x14ac:dyDescent="0.25">
      <c r="B113" s="97" t="str">
        <f t="shared" si="36"/>
        <v>MGen</v>
      </c>
      <c r="C113" s="98">
        <f>IF(ISTEXT(D113),MAX($C$6:$C112)+1,"")</f>
        <v>104</v>
      </c>
      <c r="D113" s="99" t="s">
        <v>10</v>
      </c>
      <c r="E113" s="108" t="s">
        <v>126</v>
      </c>
      <c r="F113" s="202" t="s">
        <v>43</v>
      </c>
      <c r="G113" s="197"/>
      <c r="H113" s="208"/>
      <c r="I113" s="214">
        <f t="shared" si="27"/>
        <v>2</v>
      </c>
      <c r="J113" s="215">
        <f t="shared" si="28"/>
        <v>0</v>
      </c>
      <c r="K113" s="210">
        <f>I113*J113</f>
        <v>0</v>
      </c>
      <c r="L113" s="36"/>
    </row>
    <row r="114" spans="2:12" ht="42.75" x14ac:dyDescent="0.25">
      <c r="B114" s="97" t="str">
        <f t="shared" si="36"/>
        <v>MGen</v>
      </c>
      <c r="C114" s="98">
        <f>IF(ISTEXT(D114),MAX($C$6:$C113)+1,"")</f>
        <v>105</v>
      </c>
      <c r="D114" s="99" t="s">
        <v>10</v>
      </c>
      <c r="E114" s="108" t="s">
        <v>127</v>
      </c>
      <c r="F114" s="202" t="s">
        <v>43</v>
      </c>
      <c r="G114" s="197"/>
      <c r="H114" s="208"/>
      <c r="I114" s="214">
        <f t="shared" si="27"/>
        <v>2</v>
      </c>
      <c r="J114" s="215">
        <f t="shared" si="28"/>
        <v>0</v>
      </c>
      <c r="K114" s="210">
        <f t="shared" ref="K114:K123" si="37">I114*J114</f>
        <v>0</v>
      </c>
      <c r="L114" s="36"/>
    </row>
    <row r="115" spans="2:12" ht="42.75" x14ac:dyDescent="0.25">
      <c r="B115" s="97" t="str">
        <f t="shared" si="36"/>
        <v>MGen</v>
      </c>
      <c r="C115" s="98">
        <f>IF(ISTEXT(D115),MAX($C$6:$C114)+1,"")</f>
        <v>106</v>
      </c>
      <c r="D115" s="99" t="s">
        <v>9</v>
      </c>
      <c r="E115" s="108" t="s">
        <v>128</v>
      </c>
      <c r="F115" s="202" t="s">
        <v>43</v>
      </c>
      <c r="G115" s="197"/>
      <c r="H115" s="208"/>
      <c r="I115" s="214">
        <f t="shared" si="27"/>
        <v>3</v>
      </c>
      <c r="J115" s="215">
        <f t="shared" si="28"/>
        <v>0</v>
      </c>
      <c r="K115" s="210">
        <f t="shared" si="37"/>
        <v>0</v>
      </c>
      <c r="L115" s="36"/>
    </row>
    <row r="116" spans="2:12" ht="42.75" x14ac:dyDescent="0.25">
      <c r="B116" s="97" t="str">
        <f t="shared" si="36"/>
        <v>MGen</v>
      </c>
      <c r="C116" s="98">
        <f>IF(ISTEXT(D116),MAX($C$6:$C115)+1,"")</f>
        <v>107</v>
      </c>
      <c r="D116" s="99" t="s">
        <v>10</v>
      </c>
      <c r="E116" s="108" t="s">
        <v>129</v>
      </c>
      <c r="F116" s="202" t="s">
        <v>43</v>
      </c>
      <c r="G116" s="197"/>
      <c r="H116" s="208"/>
      <c r="I116" s="214">
        <f t="shared" si="27"/>
        <v>2</v>
      </c>
      <c r="J116" s="215">
        <f t="shared" si="28"/>
        <v>0</v>
      </c>
      <c r="K116" s="210">
        <f t="shared" si="37"/>
        <v>0</v>
      </c>
      <c r="L116" s="36"/>
    </row>
    <row r="117" spans="2:12" ht="30" customHeight="1" x14ac:dyDescent="0.25">
      <c r="B117" s="97" t="str">
        <f t="shared" si="36"/>
        <v>MGen</v>
      </c>
      <c r="C117" s="98">
        <f>IF(ISTEXT(D117),MAX($C$6:$C116)+1,"")</f>
        <v>108</v>
      </c>
      <c r="D117" s="99" t="s">
        <v>11</v>
      </c>
      <c r="E117" s="108" t="s">
        <v>130</v>
      </c>
      <c r="F117" s="202" t="s">
        <v>43</v>
      </c>
      <c r="G117" s="197"/>
      <c r="H117" s="208"/>
      <c r="I117" s="214">
        <f t="shared" si="27"/>
        <v>1</v>
      </c>
      <c r="J117" s="215">
        <f t="shared" si="28"/>
        <v>0</v>
      </c>
      <c r="K117" s="210">
        <f t="shared" si="37"/>
        <v>0</v>
      </c>
      <c r="L117" s="36"/>
    </row>
    <row r="118" spans="2:12" ht="57" x14ac:dyDescent="0.25">
      <c r="B118" s="97" t="str">
        <f t="shared" si="36"/>
        <v>MGen</v>
      </c>
      <c r="C118" s="98">
        <f>IF(ISTEXT(D118),MAX($C$6:$C117)+1,"")</f>
        <v>109</v>
      </c>
      <c r="D118" s="99" t="s">
        <v>11</v>
      </c>
      <c r="E118" s="108" t="s">
        <v>501</v>
      </c>
      <c r="F118" s="202" t="s">
        <v>43</v>
      </c>
      <c r="G118" s="197"/>
      <c r="H118" s="208"/>
      <c r="I118" s="214">
        <f t="shared" si="27"/>
        <v>1</v>
      </c>
      <c r="J118" s="215">
        <f t="shared" si="28"/>
        <v>0</v>
      </c>
      <c r="K118" s="210">
        <f t="shared" si="37"/>
        <v>0</v>
      </c>
      <c r="L118" s="36"/>
    </row>
    <row r="119" spans="2:12" ht="57" x14ac:dyDescent="0.25">
      <c r="B119" s="97" t="str">
        <f t="shared" si="36"/>
        <v>MGen</v>
      </c>
      <c r="C119" s="98">
        <f>IF(ISTEXT(D119),MAX($C$6:$C118)+1,"")</f>
        <v>110</v>
      </c>
      <c r="D119" s="99" t="s">
        <v>9</v>
      </c>
      <c r="E119" s="108" t="s">
        <v>502</v>
      </c>
      <c r="F119" s="202" t="s">
        <v>43</v>
      </c>
      <c r="G119" s="197"/>
      <c r="H119" s="208"/>
      <c r="I119" s="214">
        <f t="shared" si="27"/>
        <v>3</v>
      </c>
      <c r="J119" s="215">
        <f t="shared" si="28"/>
        <v>0</v>
      </c>
      <c r="K119" s="210">
        <f t="shared" si="37"/>
        <v>0</v>
      </c>
      <c r="L119" s="36"/>
    </row>
    <row r="120" spans="2:12" ht="42.75" x14ac:dyDescent="0.25">
      <c r="B120" s="97" t="str">
        <f t="shared" si="36"/>
        <v>MGen</v>
      </c>
      <c r="C120" s="98">
        <f>IF(ISTEXT(D120),MAX($C$6:$C119)+1,"")</f>
        <v>111</v>
      </c>
      <c r="D120" s="99" t="s">
        <v>9</v>
      </c>
      <c r="E120" s="108" t="s">
        <v>503</v>
      </c>
      <c r="F120" s="202" t="s">
        <v>43</v>
      </c>
      <c r="G120" s="197"/>
      <c r="H120" s="208"/>
      <c r="I120" s="214">
        <f t="shared" si="27"/>
        <v>3</v>
      </c>
      <c r="J120" s="215">
        <f t="shared" si="28"/>
        <v>0</v>
      </c>
      <c r="K120" s="210">
        <f t="shared" si="37"/>
        <v>0</v>
      </c>
      <c r="L120" s="36"/>
    </row>
    <row r="121" spans="2:12" ht="28.5" x14ac:dyDescent="0.25">
      <c r="B121" s="97" t="str">
        <f t="shared" si="36"/>
        <v>MGen</v>
      </c>
      <c r="C121" s="98">
        <f>IF(ISTEXT(D121),MAX($C$6:$C120)+1,"")</f>
        <v>112</v>
      </c>
      <c r="D121" s="99" t="s">
        <v>11</v>
      </c>
      <c r="E121" s="108" t="s">
        <v>519</v>
      </c>
      <c r="F121" s="202" t="s">
        <v>43</v>
      </c>
      <c r="G121" s="197"/>
      <c r="H121" s="208"/>
      <c r="I121" s="214">
        <f t="shared" si="27"/>
        <v>1</v>
      </c>
      <c r="J121" s="215">
        <f t="shared" si="28"/>
        <v>0</v>
      </c>
      <c r="K121" s="210">
        <f t="shared" si="37"/>
        <v>0</v>
      </c>
      <c r="L121" s="36"/>
    </row>
    <row r="122" spans="2:12" ht="42.75" x14ac:dyDescent="0.25">
      <c r="B122" s="97" t="str">
        <f t="shared" si="36"/>
        <v>MGen</v>
      </c>
      <c r="C122" s="98">
        <f>IF(ISTEXT(D122),MAX($C$6:$C121)+1,"")</f>
        <v>113</v>
      </c>
      <c r="D122" s="99" t="s">
        <v>9</v>
      </c>
      <c r="E122" s="108" t="s">
        <v>473</v>
      </c>
      <c r="F122" s="202" t="s">
        <v>43</v>
      </c>
      <c r="G122" s="197"/>
      <c r="H122" s="208"/>
      <c r="I122" s="214">
        <f t="shared" si="27"/>
        <v>3</v>
      </c>
      <c r="J122" s="215">
        <f t="shared" si="28"/>
        <v>0</v>
      </c>
      <c r="K122" s="210">
        <f t="shared" si="37"/>
        <v>0</v>
      </c>
      <c r="L122" s="36"/>
    </row>
    <row r="123" spans="2:12" ht="42.75" x14ac:dyDescent="0.25">
      <c r="B123" s="97" t="str">
        <f t="shared" si="36"/>
        <v>MGen</v>
      </c>
      <c r="C123" s="98">
        <f>IF(ISTEXT(D123),MAX($C$6:$C122)+1,"")</f>
        <v>114</v>
      </c>
      <c r="D123" s="99" t="s">
        <v>10</v>
      </c>
      <c r="E123" s="108" t="s">
        <v>131</v>
      </c>
      <c r="F123" s="202" t="s">
        <v>43</v>
      </c>
      <c r="G123" s="197"/>
      <c r="H123" s="208"/>
      <c r="I123" s="214">
        <f t="shared" si="27"/>
        <v>2</v>
      </c>
      <c r="J123" s="215">
        <f t="shared" si="28"/>
        <v>0</v>
      </c>
      <c r="K123" s="210">
        <f t="shared" si="37"/>
        <v>0</v>
      </c>
      <c r="L123" s="36"/>
    </row>
    <row r="124" spans="2:12" ht="28.5" x14ac:dyDescent="0.25">
      <c r="B124" s="97" t="str">
        <f t="shared" si="36"/>
        <v>MGen</v>
      </c>
      <c r="C124" s="98">
        <f>IF(ISTEXT(D124),MAX($C$6:$C123)+1,"")</f>
        <v>115</v>
      </c>
      <c r="D124" s="99" t="s">
        <v>9</v>
      </c>
      <c r="E124" s="108" t="s">
        <v>132</v>
      </c>
      <c r="F124" s="202" t="s">
        <v>43</v>
      </c>
      <c r="G124" s="197"/>
      <c r="H124" s="208"/>
      <c r="I124" s="214">
        <f t="shared" si="27"/>
        <v>3</v>
      </c>
      <c r="J124" s="215">
        <f t="shared" si="28"/>
        <v>0</v>
      </c>
      <c r="K124" s="210">
        <f t="shared" ref="K124:K125" si="38">I124*J124</f>
        <v>0</v>
      </c>
      <c r="L124" s="36"/>
    </row>
    <row r="125" spans="2:12" ht="42.75" x14ac:dyDescent="0.25">
      <c r="B125" s="97" t="str">
        <f t="shared" si="36"/>
        <v>MGen</v>
      </c>
      <c r="C125" s="98">
        <f>IF(ISTEXT(D125),MAX($C$6:$C124)+1,"")</f>
        <v>116</v>
      </c>
      <c r="D125" s="99" t="s">
        <v>10</v>
      </c>
      <c r="E125" s="108" t="s">
        <v>133</v>
      </c>
      <c r="F125" s="202" t="s">
        <v>43</v>
      </c>
      <c r="G125" s="197"/>
      <c r="H125" s="208"/>
      <c r="I125" s="214">
        <f t="shared" si="27"/>
        <v>2</v>
      </c>
      <c r="J125" s="215">
        <f t="shared" si="28"/>
        <v>0</v>
      </c>
      <c r="K125" s="210">
        <f t="shared" si="38"/>
        <v>0</v>
      </c>
      <c r="L125" s="36"/>
    </row>
    <row r="126" spans="2:12" ht="30" customHeight="1" x14ac:dyDescent="0.25">
      <c r="B126" s="97" t="str">
        <f t="shared" si="36"/>
        <v>MGen</v>
      </c>
      <c r="C126" s="98">
        <f>IF(ISTEXT(D126),MAX($C$6:$C125)+1,"")</f>
        <v>117</v>
      </c>
      <c r="D126" s="99" t="s">
        <v>9</v>
      </c>
      <c r="E126" s="108" t="s">
        <v>134</v>
      </c>
      <c r="F126" s="202" t="s">
        <v>43</v>
      </c>
      <c r="G126" s="197"/>
      <c r="H126" s="208"/>
      <c r="I126" s="214">
        <f t="shared" si="27"/>
        <v>3</v>
      </c>
      <c r="J126" s="215">
        <f t="shared" si="28"/>
        <v>0</v>
      </c>
      <c r="K126" s="210">
        <f>I126*J126</f>
        <v>0</v>
      </c>
      <c r="L126" s="36"/>
    </row>
    <row r="127" spans="2:12" ht="28.5" x14ac:dyDescent="0.25">
      <c r="B127" s="97" t="str">
        <f t="shared" si="36"/>
        <v>MGen</v>
      </c>
      <c r="C127" s="98">
        <f>IF(ISTEXT(D127),MAX($C$6:$C126)+1,"")</f>
        <v>118</v>
      </c>
      <c r="D127" s="99" t="s">
        <v>10</v>
      </c>
      <c r="E127" s="108" t="s">
        <v>135</v>
      </c>
      <c r="F127" s="202" t="s">
        <v>43</v>
      </c>
      <c r="G127" s="197"/>
      <c r="H127" s="208"/>
      <c r="I127" s="214">
        <f t="shared" si="27"/>
        <v>2</v>
      </c>
      <c r="J127" s="215">
        <f t="shared" si="28"/>
        <v>0</v>
      </c>
      <c r="K127" s="210">
        <f t="shared" ref="K127:K131" si="39">I127*J127</f>
        <v>0</v>
      </c>
      <c r="L127" s="36"/>
    </row>
    <row r="128" spans="2:12" ht="42.75" x14ac:dyDescent="0.25">
      <c r="B128" s="97" t="str">
        <f t="shared" si="36"/>
        <v>MGen</v>
      </c>
      <c r="C128" s="98">
        <f>IF(ISTEXT(D128),MAX($C$6:$C127)+1,"")</f>
        <v>119</v>
      </c>
      <c r="D128" s="99" t="s">
        <v>9</v>
      </c>
      <c r="E128" s="108" t="s">
        <v>520</v>
      </c>
      <c r="F128" s="202" t="s">
        <v>43</v>
      </c>
      <c r="G128" s="197"/>
      <c r="H128" s="208"/>
      <c r="I128" s="214">
        <f t="shared" si="27"/>
        <v>3</v>
      </c>
      <c r="J128" s="215">
        <f t="shared" si="28"/>
        <v>0</v>
      </c>
      <c r="K128" s="210">
        <f t="shared" si="39"/>
        <v>0</v>
      </c>
      <c r="L128" s="36"/>
    </row>
    <row r="129" spans="2:13" ht="42.75" x14ac:dyDescent="0.25">
      <c r="B129" s="97" t="str">
        <f t="shared" si="36"/>
        <v>MGen</v>
      </c>
      <c r="C129" s="98">
        <f>IF(ISTEXT(D129),MAX($C$6:$C128)+1,"")</f>
        <v>120</v>
      </c>
      <c r="D129" s="99" t="s">
        <v>41</v>
      </c>
      <c r="E129" s="108" t="s">
        <v>425</v>
      </c>
      <c r="F129" s="109" t="s">
        <v>43</v>
      </c>
      <c r="G129" s="102"/>
      <c r="H129" s="114"/>
      <c r="I129" s="117">
        <f t="shared" si="27"/>
        <v>0</v>
      </c>
      <c r="J129" s="118">
        <f t="shared" si="28"/>
        <v>0</v>
      </c>
      <c r="K129" s="116">
        <f t="shared" si="39"/>
        <v>0</v>
      </c>
      <c r="L129" s="107"/>
    </row>
    <row r="130" spans="2:13" ht="30" customHeight="1" x14ac:dyDescent="0.25">
      <c r="B130" s="97" t="str">
        <f t="shared" si="36"/>
        <v>MGen</v>
      </c>
      <c r="C130" s="98">
        <f>IF(ISTEXT(D130),MAX($C$6:$C129)+1,"")</f>
        <v>121</v>
      </c>
      <c r="D130" s="99" t="s">
        <v>10</v>
      </c>
      <c r="E130" s="108" t="s">
        <v>136</v>
      </c>
      <c r="F130" s="202" t="s">
        <v>43</v>
      </c>
      <c r="G130" s="197"/>
      <c r="H130" s="208"/>
      <c r="I130" s="214">
        <f t="shared" si="27"/>
        <v>2</v>
      </c>
      <c r="J130" s="215">
        <f t="shared" si="28"/>
        <v>0</v>
      </c>
      <c r="K130" s="210">
        <f t="shared" si="39"/>
        <v>0</v>
      </c>
      <c r="L130" s="36"/>
    </row>
    <row r="131" spans="2:13" ht="30" customHeight="1" x14ac:dyDescent="0.25">
      <c r="B131" s="97" t="str">
        <f t="shared" si="36"/>
        <v>MGen</v>
      </c>
      <c r="C131" s="98">
        <f>IF(ISTEXT(D131),MAX($C$6:$C130)+1,"")</f>
        <v>122</v>
      </c>
      <c r="D131" s="99" t="s">
        <v>10</v>
      </c>
      <c r="E131" s="108" t="s">
        <v>379</v>
      </c>
      <c r="F131" s="202" t="s">
        <v>43</v>
      </c>
      <c r="G131" s="197"/>
      <c r="H131" s="208"/>
      <c r="I131" s="214">
        <f t="shared" si="27"/>
        <v>2</v>
      </c>
      <c r="J131" s="215">
        <f t="shared" si="28"/>
        <v>0</v>
      </c>
      <c r="K131" s="210">
        <f t="shared" si="39"/>
        <v>0</v>
      </c>
      <c r="L131" s="36"/>
    </row>
    <row r="132" spans="2:13" ht="30" customHeight="1" x14ac:dyDescent="0.25">
      <c r="B132" s="97" t="str">
        <f t="shared" si="36"/>
        <v>MGen</v>
      </c>
      <c r="C132" s="98">
        <f>IF(ISTEXT(D132),MAX($C$6:$C131)+1,"")</f>
        <v>123</v>
      </c>
      <c r="D132" s="99" t="s">
        <v>9</v>
      </c>
      <c r="E132" s="108" t="s">
        <v>137</v>
      </c>
      <c r="F132" s="202" t="s">
        <v>43</v>
      </c>
      <c r="G132" s="197"/>
      <c r="H132" s="208"/>
      <c r="I132" s="214">
        <f t="shared" si="27"/>
        <v>3</v>
      </c>
      <c r="J132" s="215">
        <f t="shared" si="28"/>
        <v>0</v>
      </c>
      <c r="K132" s="210">
        <f>I132*J132</f>
        <v>0</v>
      </c>
      <c r="L132" s="36"/>
    </row>
    <row r="133" spans="2:13" ht="30" customHeight="1" x14ac:dyDescent="0.25">
      <c r="B133" s="97" t="str">
        <f t="shared" si="36"/>
        <v>MGen</v>
      </c>
      <c r="C133" s="98">
        <f>IF(ISTEXT(D133),MAX($C$6:$C132)+1,"")</f>
        <v>124</v>
      </c>
      <c r="D133" s="99" t="s">
        <v>9</v>
      </c>
      <c r="E133" s="108" t="s">
        <v>138</v>
      </c>
      <c r="F133" s="202" t="s">
        <v>43</v>
      </c>
      <c r="G133" s="197"/>
      <c r="H133" s="208"/>
      <c r="I133" s="214">
        <f t="shared" si="27"/>
        <v>3</v>
      </c>
      <c r="J133" s="215">
        <f t="shared" si="28"/>
        <v>0</v>
      </c>
      <c r="K133" s="210">
        <f t="shared" ref="K133:K139" si="40">I133*J133</f>
        <v>0</v>
      </c>
      <c r="L133" s="36"/>
    </row>
    <row r="134" spans="2:13" ht="30" customHeight="1" x14ac:dyDescent="0.25">
      <c r="B134" s="97" t="str">
        <f t="shared" si="36"/>
        <v>MGen</v>
      </c>
      <c r="C134" s="98">
        <f>IF(ISTEXT(D134),MAX($C$6:$C133)+1,"")</f>
        <v>125</v>
      </c>
      <c r="D134" s="99" t="s">
        <v>11</v>
      </c>
      <c r="E134" s="108" t="s">
        <v>474</v>
      </c>
      <c r="F134" s="202" t="s">
        <v>43</v>
      </c>
      <c r="G134" s="197"/>
      <c r="H134" s="208"/>
      <c r="I134" s="214">
        <f t="shared" si="27"/>
        <v>1</v>
      </c>
      <c r="J134" s="215">
        <f t="shared" si="28"/>
        <v>0</v>
      </c>
      <c r="K134" s="210">
        <f t="shared" si="40"/>
        <v>0</v>
      </c>
      <c r="L134" s="36"/>
    </row>
    <row r="135" spans="2:13" ht="28.5" x14ac:dyDescent="0.25">
      <c r="B135" s="97" t="str">
        <f t="shared" si="36"/>
        <v>MGen</v>
      </c>
      <c r="C135" s="98">
        <f>IF(ISTEXT(D135),MAX($C$6:$C134)+1,"")</f>
        <v>126</v>
      </c>
      <c r="D135" s="99" t="s">
        <v>10</v>
      </c>
      <c r="E135" s="108" t="s">
        <v>428</v>
      </c>
      <c r="F135" s="202" t="s">
        <v>43</v>
      </c>
      <c r="G135" s="197"/>
      <c r="H135" s="208"/>
      <c r="I135" s="214">
        <f t="shared" si="27"/>
        <v>2</v>
      </c>
      <c r="J135" s="215">
        <f t="shared" si="28"/>
        <v>0</v>
      </c>
      <c r="K135" s="210">
        <f t="shared" si="40"/>
        <v>0</v>
      </c>
      <c r="L135" s="36"/>
    </row>
    <row r="136" spans="2:13" ht="42.75" x14ac:dyDescent="0.25">
      <c r="B136" s="97" t="str">
        <f t="shared" si="36"/>
        <v>MGen</v>
      </c>
      <c r="C136" s="98">
        <f>IF(ISTEXT(D136),MAX($C$6:$C135)+1,"")</f>
        <v>127</v>
      </c>
      <c r="D136" s="99" t="s">
        <v>11</v>
      </c>
      <c r="E136" s="108" t="s">
        <v>429</v>
      </c>
      <c r="F136" s="202" t="s">
        <v>43</v>
      </c>
      <c r="G136" s="197"/>
      <c r="H136" s="208"/>
      <c r="I136" s="214">
        <f t="shared" si="27"/>
        <v>1</v>
      </c>
      <c r="J136" s="215">
        <f t="shared" si="28"/>
        <v>0</v>
      </c>
      <c r="K136" s="210">
        <f t="shared" si="40"/>
        <v>0</v>
      </c>
      <c r="L136" s="36"/>
    </row>
    <row r="137" spans="2:13" ht="57" x14ac:dyDescent="0.25">
      <c r="B137" s="97" t="str">
        <f t="shared" si="36"/>
        <v>MGen</v>
      </c>
      <c r="C137" s="98">
        <f>IF(ISTEXT(D137),MAX($C$6:$C136)+1,"")</f>
        <v>128</v>
      </c>
      <c r="D137" s="99" t="s">
        <v>10</v>
      </c>
      <c r="E137" s="108" t="s">
        <v>430</v>
      </c>
      <c r="F137" s="202" t="s">
        <v>43</v>
      </c>
      <c r="G137" s="197"/>
      <c r="H137" s="208"/>
      <c r="I137" s="214">
        <f>VLOOKUP($D137,SpecData,2,FALSE)</f>
        <v>2</v>
      </c>
      <c r="J137" s="215">
        <f>VLOOKUP($F137,AvailabilityData,2,FALSE)</f>
        <v>0</v>
      </c>
      <c r="K137" s="210">
        <f>I137*J137</f>
        <v>0</v>
      </c>
      <c r="L137" s="36"/>
    </row>
    <row r="138" spans="2:13" s="93" customFormat="1" ht="15.75" x14ac:dyDescent="0.25">
      <c r="B138" s="94" t="s">
        <v>139</v>
      </c>
      <c r="C138" s="95"/>
      <c r="D138" s="95"/>
      <c r="E138" s="95"/>
      <c r="F138" s="95"/>
      <c r="G138" s="95"/>
      <c r="H138" s="95"/>
      <c r="I138" s="95"/>
      <c r="J138" s="95"/>
      <c r="K138" s="95"/>
      <c r="L138" s="113"/>
      <c r="M138" s="92"/>
    </row>
    <row r="139" spans="2:13" ht="30" customHeight="1" x14ac:dyDescent="0.25">
      <c r="B139" s="97" t="str">
        <f t="shared" si="36"/>
        <v>MGen</v>
      </c>
      <c r="C139" s="98">
        <f>IF(ISTEXT(D139),MAX($C$6:$C137)+1,"")</f>
        <v>129</v>
      </c>
      <c r="D139" s="99" t="s">
        <v>9</v>
      </c>
      <c r="E139" s="108" t="s">
        <v>521</v>
      </c>
      <c r="F139" s="202" t="s">
        <v>43</v>
      </c>
      <c r="G139" s="197"/>
      <c r="H139" s="208"/>
      <c r="I139" s="214">
        <f t="shared" si="27"/>
        <v>3</v>
      </c>
      <c r="J139" s="215">
        <f t="shared" si="28"/>
        <v>0</v>
      </c>
      <c r="K139" s="210">
        <f t="shared" si="40"/>
        <v>0</v>
      </c>
      <c r="L139" s="36"/>
    </row>
    <row r="140" spans="2:13" ht="30" customHeight="1" x14ac:dyDescent="0.25">
      <c r="B140" s="97" t="str">
        <f t="shared" si="36"/>
        <v>MGen</v>
      </c>
      <c r="C140" s="98">
        <f>IF(ISTEXT(D140),MAX($C$6:$C139)+1,"")</f>
        <v>130</v>
      </c>
      <c r="D140" s="99" t="s">
        <v>9</v>
      </c>
      <c r="E140" s="108" t="s">
        <v>475</v>
      </c>
      <c r="F140" s="202" t="s">
        <v>43</v>
      </c>
      <c r="G140" s="197"/>
      <c r="H140" s="208"/>
      <c r="I140" s="214">
        <f t="shared" si="27"/>
        <v>3</v>
      </c>
      <c r="J140" s="215">
        <f t="shared" si="28"/>
        <v>0</v>
      </c>
      <c r="K140" s="210">
        <f>I140*J140</f>
        <v>0</v>
      </c>
      <c r="L140" s="36"/>
    </row>
    <row r="141" spans="2:13" ht="30" customHeight="1" x14ac:dyDescent="0.25">
      <c r="B141" s="97" t="str">
        <f t="shared" si="36"/>
        <v>MGen</v>
      </c>
      <c r="C141" s="98">
        <f>IF(ISTEXT(D141),MAX($C$6:$C140)+1,"")</f>
        <v>131</v>
      </c>
      <c r="D141" s="99" t="s">
        <v>10</v>
      </c>
      <c r="E141" s="108" t="s">
        <v>522</v>
      </c>
      <c r="F141" s="202" t="s">
        <v>43</v>
      </c>
      <c r="G141" s="197"/>
      <c r="H141" s="208"/>
      <c r="I141" s="214">
        <f t="shared" si="27"/>
        <v>2</v>
      </c>
      <c r="J141" s="215">
        <f t="shared" si="28"/>
        <v>0</v>
      </c>
      <c r="K141" s="210">
        <f t="shared" ref="K141:K146" si="41">I141*J141</f>
        <v>0</v>
      </c>
      <c r="L141" s="36"/>
    </row>
    <row r="142" spans="2:13" ht="30" customHeight="1" x14ac:dyDescent="0.25">
      <c r="B142" s="97" t="str">
        <f t="shared" si="36"/>
        <v>MGen</v>
      </c>
      <c r="C142" s="98">
        <f>IF(ISTEXT(D142),MAX($C$6:$C141)+1,"")</f>
        <v>132</v>
      </c>
      <c r="D142" s="99" t="s">
        <v>9</v>
      </c>
      <c r="E142" s="108" t="s">
        <v>476</v>
      </c>
      <c r="F142" s="202" t="s">
        <v>43</v>
      </c>
      <c r="G142" s="197"/>
      <c r="H142" s="208"/>
      <c r="I142" s="214">
        <f t="shared" si="27"/>
        <v>3</v>
      </c>
      <c r="J142" s="215">
        <f t="shared" si="28"/>
        <v>0</v>
      </c>
      <c r="K142" s="210">
        <f t="shared" si="41"/>
        <v>0</v>
      </c>
      <c r="L142" s="36"/>
    </row>
    <row r="143" spans="2:13" ht="30" customHeight="1" x14ac:dyDescent="0.25">
      <c r="B143" s="97" t="str">
        <f t="shared" si="36"/>
        <v>MGen</v>
      </c>
      <c r="C143" s="98">
        <f>IF(ISTEXT(D143),MAX($C$6:$C142)+1,"")</f>
        <v>133</v>
      </c>
      <c r="D143" s="99" t="s">
        <v>10</v>
      </c>
      <c r="E143" s="108" t="s">
        <v>523</v>
      </c>
      <c r="F143" s="202" t="s">
        <v>43</v>
      </c>
      <c r="G143" s="197"/>
      <c r="H143" s="208"/>
      <c r="I143" s="214">
        <f t="shared" si="27"/>
        <v>2</v>
      </c>
      <c r="J143" s="215">
        <f t="shared" si="28"/>
        <v>0</v>
      </c>
      <c r="K143" s="210">
        <f t="shared" si="41"/>
        <v>0</v>
      </c>
      <c r="L143" s="36"/>
    </row>
    <row r="144" spans="2:13" ht="30" customHeight="1" x14ac:dyDescent="0.25">
      <c r="B144" s="120" t="str">
        <f t="shared" si="36"/>
        <v/>
      </c>
      <c r="C144" s="121" t="str">
        <f>IF(ISTEXT(D144),MAX($C$6:$C143)+1,"")</f>
        <v/>
      </c>
      <c r="D144" s="121"/>
      <c r="E144" s="122" t="s">
        <v>477</v>
      </c>
      <c r="F144" s="123"/>
      <c r="G144" s="123"/>
      <c r="H144" s="123"/>
      <c r="I144" s="123"/>
      <c r="J144" s="123"/>
      <c r="K144" s="123"/>
      <c r="L144" s="119"/>
    </row>
    <row r="145" spans="2:12" ht="30" customHeight="1" x14ac:dyDescent="0.25">
      <c r="B145" s="97" t="str">
        <f t="shared" si="36"/>
        <v>MGen</v>
      </c>
      <c r="C145" s="98">
        <f>IF(ISTEXT(D145),MAX($C$6:$C143)+1,"")</f>
        <v>134</v>
      </c>
      <c r="D145" s="99" t="s">
        <v>11</v>
      </c>
      <c r="E145" s="125" t="s">
        <v>140</v>
      </c>
      <c r="F145" s="202" t="s">
        <v>43</v>
      </c>
      <c r="G145" s="197"/>
      <c r="H145" s="208"/>
      <c r="I145" s="214">
        <f t="shared" si="27"/>
        <v>1</v>
      </c>
      <c r="J145" s="215">
        <f t="shared" si="28"/>
        <v>0</v>
      </c>
      <c r="K145" s="210">
        <f t="shared" si="41"/>
        <v>0</v>
      </c>
      <c r="L145" s="36"/>
    </row>
    <row r="146" spans="2:12" ht="30" customHeight="1" x14ac:dyDescent="0.25">
      <c r="B146" s="97" t="str">
        <f t="shared" si="36"/>
        <v>MGen</v>
      </c>
      <c r="C146" s="98">
        <f>IF(ISTEXT(D146),MAX($C$6:$C145)+1,"")</f>
        <v>135</v>
      </c>
      <c r="D146" s="99" t="s">
        <v>11</v>
      </c>
      <c r="E146" s="125" t="s">
        <v>141</v>
      </c>
      <c r="F146" s="202" t="s">
        <v>43</v>
      </c>
      <c r="G146" s="197"/>
      <c r="H146" s="208"/>
      <c r="I146" s="214">
        <f t="shared" si="27"/>
        <v>1</v>
      </c>
      <c r="J146" s="215">
        <f t="shared" si="28"/>
        <v>0</v>
      </c>
      <c r="K146" s="210">
        <f t="shared" si="41"/>
        <v>0</v>
      </c>
      <c r="L146" s="36"/>
    </row>
    <row r="147" spans="2:12" ht="30" customHeight="1" x14ac:dyDescent="0.25">
      <c r="B147" s="97" t="str">
        <f t="shared" si="36"/>
        <v>MGen</v>
      </c>
      <c r="C147" s="98">
        <f>IF(ISTEXT(D147),MAX($C$6:$C146)+1,"")</f>
        <v>136</v>
      </c>
      <c r="D147" s="99" t="s">
        <v>11</v>
      </c>
      <c r="E147" s="125" t="s">
        <v>142</v>
      </c>
      <c r="F147" s="202" t="s">
        <v>43</v>
      </c>
      <c r="G147" s="197"/>
      <c r="H147" s="208"/>
      <c r="I147" s="214">
        <f t="shared" si="27"/>
        <v>1</v>
      </c>
      <c r="J147" s="215">
        <f t="shared" si="28"/>
        <v>0</v>
      </c>
      <c r="K147" s="210">
        <f>I147*J147</f>
        <v>0</v>
      </c>
      <c r="L147" s="36"/>
    </row>
    <row r="148" spans="2:12" ht="30" customHeight="1" x14ac:dyDescent="0.25">
      <c r="B148" s="97" t="str">
        <f t="shared" si="36"/>
        <v>MGen</v>
      </c>
      <c r="C148" s="98">
        <f>IF(ISTEXT(D148),MAX($C$6:$C147)+1,"")</f>
        <v>137</v>
      </c>
      <c r="D148" s="99" t="s">
        <v>11</v>
      </c>
      <c r="E148" s="108" t="s">
        <v>143</v>
      </c>
      <c r="F148" s="202" t="s">
        <v>43</v>
      </c>
      <c r="G148" s="197"/>
      <c r="H148" s="208"/>
      <c r="I148" s="214">
        <f t="shared" si="27"/>
        <v>1</v>
      </c>
      <c r="J148" s="215">
        <f t="shared" si="28"/>
        <v>0</v>
      </c>
      <c r="K148" s="210">
        <f t="shared" ref="K148:K152" si="42">I148*J148</f>
        <v>0</v>
      </c>
      <c r="L148" s="36"/>
    </row>
    <row r="149" spans="2:12" ht="30" customHeight="1" x14ac:dyDescent="0.25">
      <c r="B149" s="97" t="str">
        <f t="shared" si="36"/>
        <v>MGen</v>
      </c>
      <c r="C149" s="98">
        <f>IF(ISTEXT(D149),MAX($C$6:$C148)+1,"")</f>
        <v>138</v>
      </c>
      <c r="D149" s="99" t="s">
        <v>10</v>
      </c>
      <c r="E149" s="108" t="s">
        <v>478</v>
      </c>
      <c r="F149" s="202" t="s">
        <v>43</v>
      </c>
      <c r="G149" s="197"/>
      <c r="H149" s="208"/>
      <c r="I149" s="214">
        <f t="shared" si="27"/>
        <v>2</v>
      </c>
      <c r="J149" s="215">
        <f t="shared" si="28"/>
        <v>0</v>
      </c>
      <c r="K149" s="210">
        <f t="shared" si="42"/>
        <v>0</v>
      </c>
      <c r="L149" s="36"/>
    </row>
    <row r="150" spans="2:12" ht="42.75" x14ac:dyDescent="0.25">
      <c r="B150" s="97" t="str">
        <f t="shared" si="36"/>
        <v>MGen</v>
      </c>
      <c r="C150" s="98">
        <f>IF(ISTEXT(D150),MAX($C$6:$C149)+1,"")</f>
        <v>139</v>
      </c>
      <c r="D150" s="99" t="s">
        <v>11</v>
      </c>
      <c r="E150" s="108" t="s">
        <v>485</v>
      </c>
      <c r="F150" s="202" t="s">
        <v>43</v>
      </c>
      <c r="G150" s="197"/>
      <c r="H150" s="208"/>
      <c r="I150" s="214">
        <f t="shared" si="27"/>
        <v>1</v>
      </c>
      <c r="J150" s="215">
        <f t="shared" si="28"/>
        <v>0</v>
      </c>
      <c r="K150" s="210">
        <f t="shared" si="42"/>
        <v>0</v>
      </c>
      <c r="L150" s="36"/>
    </row>
    <row r="151" spans="2:12" ht="30" customHeight="1" x14ac:dyDescent="0.25">
      <c r="B151" s="97" t="str">
        <f t="shared" si="36"/>
        <v>MGen</v>
      </c>
      <c r="C151" s="98">
        <f>IF(ISTEXT(D151),MAX($C$6:$C150)+1,"")</f>
        <v>140</v>
      </c>
      <c r="D151" s="99" t="s">
        <v>9</v>
      </c>
      <c r="E151" s="108" t="s">
        <v>144</v>
      </c>
      <c r="F151" s="202" t="s">
        <v>43</v>
      </c>
      <c r="G151" s="197"/>
      <c r="H151" s="208"/>
      <c r="I151" s="214">
        <f t="shared" si="27"/>
        <v>3</v>
      </c>
      <c r="J151" s="215">
        <f t="shared" si="28"/>
        <v>0</v>
      </c>
      <c r="K151" s="210">
        <f t="shared" si="42"/>
        <v>0</v>
      </c>
      <c r="L151" s="36"/>
    </row>
    <row r="152" spans="2:12" ht="30" customHeight="1" x14ac:dyDescent="0.25">
      <c r="B152" s="97" t="str">
        <f t="shared" si="36"/>
        <v>MGen</v>
      </c>
      <c r="C152" s="98">
        <f>IF(ISTEXT(D152),MAX($C$6:$C151)+1,"")</f>
        <v>141</v>
      </c>
      <c r="D152" s="99" t="s">
        <v>10</v>
      </c>
      <c r="E152" s="108" t="s">
        <v>486</v>
      </c>
      <c r="F152" s="202" t="s">
        <v>43</v>
      </c>
      <c r="G152" s="197"/>
      <c r="H152" s="208"/>
      <c r="I152" s="214">
        <f t="shared" si="27"/>
        <v>2</v>
      </c>
      <c r="J152" s="215">
        <f t="shared" si="28"/>
        <v>0</v>
      </c>
      <c r="K152" s="210">
        <f t="shared" si="42"/>
        <v>0</v>
      </c>
      <c r="L152" s="36"/>
    </row>
    <row r="153" spans="2:12" ht="30" customHeight="1" x14ac:dyDescent="0.25">
      <c r="B153" s="97" t="str">
        <f t="shared" si="36"/>
        <v>MGen</v>
      </c>
      <c r="C153" s="98">
        <f>IF(ISTEXT(D153),MAX($C$6:$C152)+1,"")</f>
        <v>142</v>
      </c>
      <c r="D153" s="99" t="s">
        <v>11</v>
      </c>
      <c r="E153" s="108" t="s">
        <v>487</v>
      </c>
      <c r="F153" s="202" t="s">
        <v>43</v>
      </c>
      <c r="G153" s="197"/>
      <c r="H153" s="208"/>
      <c r="I153" s="214">
        <f t="shared" si="27"/>
        <v>1</v>
      </c>
      <c r="J153" s="215">
        <f t="shared" si="28"/>
        <v>0</v>
      </c>
      <c r="K153" s="210">
        <f>I153*J153</f>
        <v>0</v>
      </c>
      <c r="L153" s="36"/>
    </row>
    <row r="154" spans="2:12" ht="30" customHeight="1" x14ac:dyDescent="0.25">
      <c r="B154" s="97" t="str">
        <f t="shared" si="36"/>
        <v>MGen</v>
      </c>
      <c r="C154" s="98">
        <f>IF(ISTEXT(D154),MAX($C$6:$C153)+1,"")</f>
        <v>143</v>
      </c>
      <c r="D154" s="99" t="s">
        <v>10</v>
      </c>
      <c r="E154" s="108" t="s">
        <v>145</v>
      </c>
      <c r="F154" s="202" t="s">
        <v>43</v>
      </c>
      <c r="G154" s="197"/>
      <c r="H154" s="208"/>
      <c r="I154" s="214">
        <f t="shared" si="27"/>
        <v>2</v>
      </c>
      <c r="J154" s="215">
        <f t="shared" si="28"/>
        <v>0</v>
      </c>
      <c r="K154" s="210">
        <f t="shared" ref="K154:K156" si="43">I154*J154</f>
        <v>0</v>
      </c>
      <c r="L154" s="36"/>
    </row>
    <row r="155" spans="2:12" ht="30" customHeight="1" x14ac:dyDescent="0.25">
      <c r="B155" s="97" t="str">
        <f t="shared" si="36"/>
        <v>MGen</v>
      </c>
      <c r="C155" s="98">
        <f>IF(ISTEXT(D155),MAX($C$6:$C154)+1,"")</f>
        <v>144</v>
      </c>
      <c r="D155" s="99" t="s">
        <v>10</v>
      </c>
      <c r="E155" s="108" t="s">
        <v>146</v>
      </c>
      <c r="F155" s="202" t="s">
        <v>43</v>
      </c>
      <c r="G155" s="197"/>
      <c r="H155" s="208"/>
      <c r="I155" s="214">
        <f t="shared" si="27"/>
        <v>2</v>
      </c>
      <c r="J155" s="215">
        <f t="shared" si="28"/>
        <v>0</v>
      </c>
      <c r="K155" s="210">
        <f t="shared" si="43"/>
        <v>0</v>
      </c>
      <c r="L155" s="36"/>
    </row>
    <row r="156" spans="2:12" ht="30" customHeight="1" x14ac:dyDescent="0.25">
      <c r="B156" s="97" t="str">
        <f t="shared" si="36"/>
        <v>MGen</v>
      </c>
      <c r="C156" s="98">
        <f>IF(ISTEXT(D156),MAX($C$6:$C155)+1,"")</f>
        <v>145</v>
      </c>
      <c r="D156" s="99" t="s">
        <v>11</v>
      </c>
      <c r="E156" s="108" t="s">
        <v>147</v>
      </c>
      <c r="F156" s="202" t="s">
        <v>43</v>
      </c>
      <c r="G156" s="197"/>
      <c r="H156" s="208"/>
      <c r="I156" s="214">
        <f t="shared" si="27"/>
        <v>1</v>
      </c>
      <c r="J156" s="215">
        <f t="shared" si="28"/>
        <v>0</v>
      </c>
      <c r="K156" s="210">
        <f t="shared" si="43"/>
        <v>0</v>
      </c>
      <c r="L156" s="36"/>
    </row>
    <row r="157" spans="2:12" ht="42.75" x14ac:dyDescent="0.25">
      <c r="B157" s="97" t="str">
        <f t="shared" si="36"/>
        <v>MGen</v>
      </c>
      <c r="C157" s="98">
        <f>IF(ISTEXT(D157),MAX($C$6:$C156)+1,"")</f>
        <v>146</v>
      </c>
      <c r="D157" s="99" t="s">
        <v>9</v>
      </c>
      <c r="E157" s="108" t="s">
        <v>479</v>
      </c>
      <c r="F157" s="202" t="s">
        <v>43</v>
      </c>
      <c r="G157" s="197"/>
      <c r="H157" s="208"/>
      <c r="I157" s="214">
        <f t="shared" si="27"/>
        <v>3</v>
      </c>
      <c r="J157" s="215">
        <f t="shared" si="28"/>
        <v>0</v>
      </c>
      <c r="K157" s="210">
        <f>I157*J157</f>
        <v>0</v>
      </c>
      <c r="L157" s="36"/>
    </row>
    <row r="158" spans="2:12" ht="30" customHeight="1" x14ac:dyDescent="0.25">
      <c r="B158" s="97" t="str">
        <f t="shared" si="36"/>
        <v>MGen</v>
      </c>
      <c r="C158" s="98">
        <f>IF(ISTEXT(D158),MAX($C$6:$C157)+1,"")</f>
        <v>147</v>
      </c>
      <c r="D158" s="99" t="s">
        <v>11</v>
      </c>
      <c r="E158" s="108" t="s">
        <v>148</v>
      </c>
      <c r="F158" s="202" t="s">
        <v>43</v>
      </c>
      <c r="G158" s="197"/>
      <c r="H158" s="208"/>
      <c r="I158" s="214">
        <f t="shared" si="27"/>
        <v>1</v>
      </c>
      <c r="J158" s="215">
        <f t="shared" si="28"/>
        <v>0</v>
      </c>
      <c r="K158" s="210">
        <f t="shared" ref="K158:K165" si="44">I158*J158</f>
        <v>0</v>
      </c>
      <c r="L158" s="36"/>
    </row>
    <row r="159" spans="2:12" ht="30" customHeight="1" x14ac:dyDescent="0.25">
      <c r="B159" s="97" t="str">
        <f t="shared" si="36"/>
        <v>MGen</v>
      </c>
      <c r="C159" s="98">
        <f>IF(ISTEXT(D159),MAX($C$6:$C158)+1,"")</f>
        <v>148</v>
      </c>
      <c r="D159" s="99" t="s">
        <v>11</v>
      </c>
      <c r="E159" s="108" t="s">
        <v>149</v>
      </c>
      <c r="F159" s="202" t="s">
        <v>43</v>
      </c>
      <c r="G159" s="197"/>
      <c r="H159" s="208"/>
      <c r="I159" s="214">
        <f t="shared" si="27"/>
        <v>1</v>
      </c>
      <c r="J159" s="215">
        <f t="shared" si="28"/>
        <v>0</v>
      </c>
      <c r="K159" s="210">
        <f t="shared" si="44"/>
        <v>0</v>
      </c>
      <c r="L159" s="36"/>
    </row>
    <row r="160" spans="2:12" ht="30" customHeight="1" x14ac:dyDescent="0.25">
      <c r="B160" s="97" t="str">
        <f t="shared" si="36"/>
        <v>MGen</v>
      </c>
      <c r="C160" s="98">
        <f>IF(ISTEXT(D160),MAX($C$6:$C159)+1,"")</f>
        <v>149</v>
      </c>
      <c r="D160" s="99" t="s">
        <v>11</v>
      </c>
      <c r="E160" s="108" t="s">
        <v>150</v>
      </c>
      <c r="F160" s="202" t="s">
        <v>43</v>
      </c>
      <c r="G160" s="197"/>
      <c r="H160" s="208"/>
      <c r="I160" s="214">
        <f t="shared" si="27"/>
        <v>1</v>
      </c>
      <c r="J160" s="215">
        <f t="shared" si="28"/>
        <v>0</v>
      </c>
      <c r="K160" s="210">
        <f t="shared" si="44"/>
        <v>0</v>
      </c>
      <c r="L160" s="36"/>
    </row>
    <row r="161" spans="2:13" ht="30" customHeight="1" x14ac:dyDescent="0.25">
      <c r="B161" s="97" t="str">
        <f t="shared" si="36"/>
        <v>MGen</v>
      </c>
      <c r="C161" s="98">
        <f>IF(ISTEXT(D161),MAX($C$6:$C160)+1,"")</f>
        <v>150</v>
      </c>
      <c r="D161" s="99" t="s">
        <v>10</v>
      </c>
      <c r="E161" s="108" t="s">
        <v>151</v>
      </c>
      <c r="F161" s="202" t="s">
        <v>43</v>
      </c>
      <c r="G161" s="197"/>
      <c r="H161" s="208"/>
      <c r="I161" s="214">
        <f t="shared" si="27"/>
        <v>2</v>
      </c>
      <c r="J161" s="215">
        <f t="shared" si="28"/>
        <v>0</v>
      </c>
      <c r="K161" s="210">
        <f t="shared" si="44"/>
        <v>0</v>
      </c>
      <c r="L161" s="36"/>
    </row>
    <row r="162" spans="2:13" ht="30" customHeight="1" x14ac:dyDescent="0.25">
      <c r="B162" s="97" t="str">
        <f t="shared" si="36"/>
        <v>MGen</v>
      </c>
      <c r="C162" s="98">
        <f>IF(ISTEXT(D162),MAX($C$6:$C161)+1,"")</f>
        <v>151</v>
      </c>
      <c r="D162" s="99" t="s">
        <v>10</v>
      </c>
      <c r="E162" s="108" t="s">
        <v>480</v>
      </c>
      <c r="F162" s="202" t="s">
        <v>43</v>
      </c>
      <c r="G162" s="197"/>
      <c r="H162" s="208"/>
      <c r="I162" s="214">
        <f t="shared" si="27"/>
        <v>2</v>
      </c>
      <c r="J162" s="215">
        <f t="shared" si="28"/>
        <v>0</v>
      </c>
      <c r="K162" s="210">
        <f t="shared" si="44"/>
        <v>0</v>
      </c>
      <c r="L162" s="36"/>
    </row>
    <row r="163" spans="2:13" ht="30" customHeight="1" x14ac:dyDescent="0.25">
      <c r="B163" s="97" t="str">
        <f t="shared" si="36"/>
        <v>MGen</v>
      </c>
      <c r="C163" s="98">
        <f>IF(ISTEXT(D163),MAX($C$6:$C162)+1,"")</f>
        <v>152</v>
      </c>
      <c r="D163" s="99" t="s">
        <v>10</v>
      </c>
      <c r="E163" s="108" t="s">
        <v>481</v>
      </c>
      <c r="F163" s="202" t="s">
        <v>43</v>
      </c>
      <c r="G163" s="197"/>
      <c r="H163" s="208"/>
      <c r="I163" s="214">
        <f t="shared" si="27"/>
        <v>2</v>
      </c>
      <c r="J163" s="215">
        <f t="shared" si="28"/>
        <v>0</v>
      </c>
      <c r="K163" s="210">
        <f t="shared" si="44"/>
        <v>0</v>
      </c>
      <c r="L163" s="36"/>
    </row>
    <row r="164" spans="2:13" ht="30" customHeight="1" x14ac:dyDescent="0.25">
      <c r="B164" s="120" t="str">
        <f t="shared" ref="B164" si="45">IF(C164="","",$B$5)</f>
        <v/>
      </c>
      <c r="C164" s="121" t="str">
        <f>IF(ISTEXT(D164),MAX($C$6:$C163)+1,"")</f>
        <v/>
      </c>
      <c r="D164" s="121"/>
      <c r="E164" s="122" t="s">
        <v>482</v>
      </c>
      <c r="F164" s="123"/>
      <c r="G164" s="123"/>
      <c r="H164" s="123"/>
      <c r="I164" s="123"/>
      <c r="J164" s="123"/>
      <c r="K164" s="123"/>
      <c r="L164" s="119"/>
    </row>
    <row r="165" spans="2:13" ht="30" customHeight="1" x14ac:dyDescent="0.25">
      <c r="B165" s="97" t="str">
        <f t="shared" si="36"/>
        <v>MGen</v>
      </c>
      <c r="C165" s="98">
        <f>IF(ISTEXT(D165),MAX($C$6:$C163)+1,"")</f>
        <v>153</v>
      </c>
      <c r="D165" s="99" t="s">
        <v>9</v>
      </c>
      <c r="E165" s="125" t="s">
        <v>152</v>
      </c>
      <c r="F165" s="202" t="s">
        <v>43</v>
      </c>
      <c r="G165" s="197"/>
      <c r="H165" s="208"/>
      <c r="I165" s="214">
        <f t="shared" si="27"/>
        <v>3</v>
      </c>
      <c r="J165" s="215">
        <f t="shared" si="28"/>
        <v>0</v>
      </c>
      <c r="K165" s="210">
        <f t="shared" si="44"/>
        <v>0</v>
      </c>
      <c r="L165" s="36"/>
    </row>
    <row r="166" spans="2:13" ht="30" customHeight="1" x14ac:dyDescent="0.25">
      <c r="B166" s="97" t="str">
        <f t="shared" si="36"/>
        <v>MGen</v>
      </c>
      <c r="C166" s="98">
        <f>IF(ISTEXT(D166),MAX($C$6:$C165)+1,"")</f>
        <v>154</v>
      </c>
      <c r="D166" s="99" t="s">
        <v>10</v>
      </c>
      <c r="E166" s="125" t="s">
        <v>488</v>
      </c>
      <c r="F166" s="202" t="s">
        <v>43</v>
      </c>
      <c r="G166" s="197"/>
      <c r="H166" s="208"/>
      <c r="I166" s="214">
        <f t="shared" si="27"/>
        <v>2</v>
      </c>
      <c r="J166" s="215">
        <f t="shared" si="28"/>
        <v>0</v>
      </c>
      <c r="K166" s="210">
        <f>I166*J166</f>
        <v>0</v>
      </c>
      <c r="L166" s="36"/>
    </row>
    <row r="167" spans="2:13" ht="30" customHeight="1" x14ac:dyDescent="0.25">
      <c r="B167" s="97" t="str">
        <f t="shared" si="36"/>
        <v>MGen</v>
      </c>
      <c r="C167" s="98">
        <f>IF(ISTEXT(D167),MAX($C$6:$C166)+1,"")</f>
        <v>155</v>
      </c>
      <c r="D167" s="99" t="s">
        <v>41</v>
      </c>
      <c r="E167" s="125" t="s">
        <v>153</v>
      </c>
      <c r="F167" s="109" t="s">
        <v>43</v>
      </c>
      <c r="G167" s="102"/>
      <c r="H167" s="114"/>
      <c r="I167" s="117">
        <f t="shared" si="27"/>
        <v>0</v>
      </c>
      <c r="J167" s="118">
        <f t="shared" si="28"/>
        <v>0</v>
      </c>
      <c r="K167" s="116">
        <f t="shared" ref="K167:K174" si="46">I167*J167</f>
        <v>0</v>
      </c>
      <c r="L167" s="107"/>
    </row>
    <row r="168" spans="2:13" s="93" customFormat="1" ht="15.75" x14ac:dyDescent="0.25">
      <c r="B168" s="94" t="s">
        <v>154</v>
      </c>
      <c r="C168" s="95"/>
      <c r="D168" s="95"/>
      <c r="E168" s="95"/>
      <c r="F168" s="95"/>
      <c r="G168" s="95"/>
      <c r="H168" s="95"/>
      <c r="I168" s="95"/>
      <c r="J168" s="95"/>
      <c r="K168" s="95"/>
      <c r="L168" s="113"/>
      <c r="M168" s="92"/>
    </row>
    <row r="169" spans="2:13" ht="30" customHeight="1" x14ac:dyDescent="0.25">
      <c r="B169" s="120" t="str">
        <f t="shared" si="36"/>
        <v/>
      </c>
      <c r="C169" s="121" t="str">
        <f>IF(ISTEXT(D169),MAX($C$6:$C167)+1,"")</f>
        <v/>
      </c>
      <c r="D169" s="121"/>
      <c r="E169" s="122" t="s">
        <v>483</v>
      </c>
      <c r="F169" s="123"/>
      <c r="G169" s="123"/>
      <c r="H169" s="123"/>
      <c r="I169" s="123"/>
      <c r="J169" s="123"/>
      <c r="K169" s="123"/>
      <c r="L169" s="119"/>
    </row>
    <row r="170" spans="2:13" ht="30" customHeight="1" x14ac:dyDescent="0.25">
      <c r="B170" s="97" t="str">
        <f t="shared" si="36"/>
        <v>MGen</v>
      </c>
      <c r="C170" s="98">
        <f>IF(ISTEXT(D170),MAX($C$6:$C167)+1,"")</f>
        <v>156</v>
      </c>
      <c r="D170" s="99" t="s">
        <v>9</v>
      </c>
      <c r="E170" s="125" t="s">
        <v>155</v>
      </c>
      <c r="F170" s="202" t="s">
        <v>43</v>
      </c>
      <c r="G170" s="197"/>
      <c r="H170" s="208"/>
      <c r="I170" s="214">
        <f t="shared" si="27"/>
        <v>3</v>
      </c>
      <c r="J170" s="215">
        <f t="shared" si="28"/>
        <v>0</v>
      </c>
      <c r="K170" s="210">
        <f t="shared" si="46"/>
        <v>0</v>
      </c>
      <c r="L170" s="36"/>
    </row>
    <row r="171" spans="2:13" ht="30" customHeight="1" x14ac:dyDescent="0.25">
      <c r="B171" s="97" t="str">
        <f t="shared" si="36"/>
        <v>MGen</v>
      </c>
      <c r="C171" s="98">
        <f>IF(ISTEXT(D171),MAX($C$6:$C170)+1,"")</f>
        <v>157</v>
      </c>
      <c r="D171" s="99" t="s">
        <v>10</v>
      </c>
      <c r="E171" s="125" t="s">
        <v>156</v>
      </c>
      <c r="F171" s="202" t="s">
        <v>43</v>
      </c>
      <c r="G171" s="197"/>
      <c r="H171" s="208"/>
      <c r="I171" s="214">
        <f t="shared" si="27"/>
        <v>2</v>
      </c>
      <c r="J171" s="215">
        <f t="shared" si="28"/>
        <v>0</v>
      </c>
      <c r="K171" s="210">
        <f t="shared" si="46"/>
        <v>0</v>
      </c>
      <c r="L171" s="36"/>
    </row>
    <row r="172" spans="2:13" ht="30" customHeight="1" x14ac:dyDescent="0.25">
      <c r="B172" s="97" t="str">
        <f t="shared" si="36"/>
        <v>MGen</v>
      </c>
      <c r="C172" s="98">
        <f>IF(ISTEXT(D172),MAX($C$6:$C171)+1,"")</f>
        <v>158</v>
      </c>
      <c r="D172" s="99" t="s">
        <v>11</v>
      </c>
      <c r="E172" s="125" t="s">
        <v>157</v>
      </c>
      <c r="F172" s="202" t="s">
        <v>43</v>
      </c>
      <c r="G172" s="197"/>
      <c r="H172" s="208"/>
      <c r="I172" s="214">
        <f t="shared" si="27"/>
        <v>1</v>
      </c>
      <c r="J172" s="215">
        <f t="shared" si="28"/>
        <v>0</v>
      </c>
      <c r="K172" s="210">
        <f t="shared" si="46"/>
        <v>0</v>
      </c>
      <c r="L172" s="36"/>
    </row>
    <row r="173" spans="2:13" ht="30" customHeight="1" x14ac:dyDescent="0.25">
      <c r="B173" s="97" t="str">
        <f t="shared" si="36"/>
        <v>MGen</v>
      </c>
      <c r="C173" s="98">
        <f>IF(ISTEXT(D173),MAX($C$6:$C172)+1,"")</f>
        <v>159</v>
      </c>
      <c r="D173" s="99" t="s">
        <v>11</v>
      </c>
      <c r="E173" s="125" t="s">
        <v>158</v>
      </c>
      <c r="F173" s="202" t="s">
        <v>43</v>
      </c>
      <c r="G173" s="197"/>
      <c r="H173" s="208"/>
      <c r="I173" s="214">
        <f t="shared" si="27"/>
        <v>1</v>
      </c>
      <c r="J173" s="215">
        <f t="shared" si="28"/>
        <v>0</v>
      </c>
      <c r="K173" s="210">
        <f t="shared" si="46"/>
        <v>0</v>
      </c>
      <c r="L173" s="36"/>
    </row>
    <row r="174" spans="2:13" ht="30" customHeight="1" x14ac:dyDescent="0.25">
      <c r="B174" s="97" t="str">
        <f t="shared" si="36"/>
        <v>MGen</v>
      </c>
      <c r="C174" s="98">
        <f>IF(ISTEXT(D174),MAX($C$6:$C173)+1,"")</f>
        <v>160</v>
      </c>
      <c r="D174" s="99" t="s">
        <v>9</v>
      </c>
      <c r="E174" s="125" t="s">
        <v>159</v>
      </c>
      <c r="F174" s="202" t="s">
        <v>43</v>
      </c>
      <c r="G174" s="197"/>
      <c r="H174" s="208"/>
      <c r="I174" s="214">
        <f t="shared" ref="I174:I203" si="47">VLOOKUP($D174,SpecData,2,FALSE)</f>
        <v>3</v>
      </c>
      <c r="J174" s="215">
        <f t="shared" ref="J174:J203" si="48">VLOOKUP($F174,AvailabilityData,2,FALSE)</f>
        <v>0</v>
      </c>
      <c r="K174" s="210">
        <f t="shared" si="46"/>
        <v>0</v>
      </c>
      <c r="L174" s="36"/>
    </row>
    <row r="175" spans="2:13" ht="30" customHeight="1" x14ac:dyDescent="0.25">
      <c r="B175" s="97" t="str">
        <f t="shared" si="36"/>
        <v>MGen</v>
      </c>
      <c r="C175" s="98">
        <f>IF(ISTEXT(D175),MAX($C$6:$C174)+1,"")</f>
        <v>161</v>
      </c>
      <c r="D175" s="99" t="s">
        <v>11</v>
      </c>
      <c r="E175" s="125" t="s">
        <v>377</v>
      </c>
      <c r="F175" s="202" t="s">
        <v>43</v>
      </c>
      <c r="G175" s="197"/>
      <c r="H175" s="208"/>
      <c r="I175" s="214">
        <f t="shared" si="47"/>
        <v>1</v>
      </c>
      <c r="J175" s="215">
        <f t="shared" si="48"/>
        <v>0</v>
      </c>
      <c r="K175" s="210">
        <f>I175*J175</f>
        <v>0</v>
      </c>
      <c r="L175" s="36"/>
    </row>
    <row r="176" spans="2:13" ht="30" customHeight="1" x14ac:dyDescent="0.25">
      <c r="B176" s="97" t="str">
        <f t="shared" si="36"/>
        <v>MGen</v>
      </c>
      <c r="C176" s="98">
        <f>IF(ISTEXT(D176),MAX($C$6:$C175)+1,"")</f>
        <v>162</v>
      </c>
      <c r="D176" s="99" t="s">
        <v>9</v>
      </c>
      <c r="E176" s="125" t="s">
        <v>160</v>
      </c>
      <c r="F176" s="202" t="s">
        <v>43</v>
      </c>
      <c r="G176" s="197"/>
      <c r="H176" s="208"/>
      <c r="I176" s="214">
        <f t="shared" si="47"/>
        <v>3</v>
      </c>
      <c r="J176" s="215">
        <f t="shared" si="48"/>
        <v>0</v>
      </c>
      <c r="K176" s="210">
        <f t="shared" ref="K176:K182" si="49">I176*J176</f>
        <v>0</v>
      </c>
      <c r="L176" s="36"/>
    </row>
    <row r="177" spans="2:13" s="93" customFormat="1" ht="15.75" x14ac:dyDescent="0.25">
      <c r="B177" s="94" t="s">
        <v>161</v>
      </c>
      <c r="C177" s="95"/>
      <c r="D177" s="95"/>
      <c r="E177" s="95"/>
      <c r="F177" s="95"/>
      <c r="G177" s="95"/>
      <c r="H177" s="95"/>
      <c r="I177" s="95"/>
      <c r="J177" s="95"/>
      <c r="K177" s="95"/>
      <c r="L177" s="113"/>
      <c r="M177" s="92"/>
    </row>
    <row r="178" spans="2:13" ht="30" customHeight="1" x14ac:dyDescent="0.25">
      <c r="B178" s="120" t="str">
        <f t="shared" ref="B178" si="50">IF(C178="","",$B$5)</f>
        <v/>
      </c>
      <c r="C178" s="121" t="str">
        <f>IF(ISTEXT(D178),MAX($C$6:$C176)+1,"")</f>
        <v/>
      </c>
      <c r="D178" s="121"/>
      <c r="E178" s="122" t="s">
        <v>484</v>
      </c>
      <c r="F178" s="123"/>
      <c r="G178" s="123"/>
      <c r="H178" s="123"/>
      <c r="I178" s="123"/>
      <c r="J178" s="123"/>
      <c r="K178" s="123"/>
      <c r="L178" s="119"/>
    </row>
    <row r="179" spans="2:13" ht="30" customHeight="1" x14ac:dyDescent="0.25">
      <c r="B179" s="97" t="str">
        <f t="shared" si="36"/>
        <v>MGen</v>
      </c>
      <c r="C179" s="98">
        <f>IF(ISTEXT(D179),MAX($C$6:$C176)+1,"")</f>
        <v>163</v>
      </c>
      <c r="D179" s="99" t="s">
        <v>9</v>
      </c>
      <c r="E179" s="125" t="s">
        <v>162</v>
      </c>
      <c r="F179" s="202" t="s">
        <v>43</v>
      </c>
      <c r="G179" s="197"/>
      <c r="H179" s="208"/>
      <c r="I179" s="214">
        <f t="shared" si="47"/>
        <v>3</v>
      </c>
      <c r="J179" s="215">
        <f t="shared" si="48"/>
        <v>0</v>
      </c>
      <c r="K179" s="210">
        <f t="shared" si="49"/>
        <v>0</v>
      </c>
      <c r="L179" s="36"/>
    </row>
    <row r="180" spans="2:13" ht="30" customHeight="1" x14ac:dyDescent="0.25">
      <c r="B180" s="97" t="str">
        <f t="shared" si="36"/>
        <v>MGen</v>
      </c>
      <c r="C180" s="98">
        <f>IF(ISTEXT(D180),MAX($C$6:$C179)+1,"")</f>
        <v>164</v>
      </c>
      <c r="D180" s="99" t="s">
        <v>9</v>
      </c>
      <c r="E180" s="125" t="s">
        <v>163</v>
      </c>
      <c r="F180" s="202" t="s">
        <v>43</v>
      </c>
      <c r="G180" s="197"/>
      <c r="H180" s="208"/>
      <c r="I180" s="214">
        <f t="shared" si="47"/>
        <v>3</v>
      </c>
      <c r="J180" s="215">
        <f t="shared" si="48"/>
        <v>0</v>
      </c>
      <c r="K180" s="210">
        <f t="shared" si="49"/>
        <v>0</v>
      </c>
      <c r="L180" s="36"/>
    </row>
    <row r="181" spans="2:13" ht="30" customHeight="1" x14ac:dyDescent="0.25">
      <c r="B181" s="97" t="str">
        <f t="shared" ref="B181:B186" si="51">IF(C181="","",$B$5)</f>
        <v>MGen</v>
      </c>
      <c r="C181" s="98">
        <f>IF(ISTEXT(D181),MAX($C$6:$C180)+1,"")</f>
        <v>165</v>
      </c>
      <c r="D181" s="99" t="s">
        <v>9</v>
      </c>
      <c r="E181" s="125" t="s">
        <v>164</v>
      </c>
      <c r="F181" s="202" t="s">
        <v>43</v>
      </c>
      <c r="G181" s="197"/>
      <c r="H181" s="208"/>
      <c r="I181" s="214">
        <f t="shared" si="47"/>
        <v>3</v>
      </c>
      <c r="J181" s="215">
        <f t="shared" si="48"/>
        <v>0</v>
      </c>
      <c r="K181" s="210">
        <f t="shared" si="49"/>
        <v>0</v>
      </c>
      <c r="L181" s="36"/>
    </row>
    <row r="182" spans="2:13" ht="30" customHeight="1" x14ac:dyDescent="0.25">
      <c r="B182" s="97" t="str">
        <f t="shared" si="51"/>
        <v>MGen</v>
      </c>
      <c r="C182" s="98">
        <f>IF(ISTEXT(D182),MAX($C$6:$C181)+1,"")</f>
        <v>166</v>
      </c>
      <c r="D182" s="99" t="s">
        <v>9</v>
      </c>
      <c r="E182" s="125" t="s">
        <v>165</v>
      </c>
      <c r="F182" s="202" t="s">
        <v>43</v>
      </c>
      <c r="G182" s="197"/>
      <c r="H182" s="208"/>
      <c r="I182" s="214">
        <f t="shared" si="47"/>
        <v>3</v>
      </c>
      <c r="J182" s="215">
        <f t="shared" si="48"/>
        <v>0</v>
      </c>
      <c r="K182" s="210">
        <f t="shared" si="49"/>
        <v>0</v>
      </c>
      <c r="L182" s="36"/>
    </row>
    <row r="183" spans="2:13" ht="30" customHeight="1" x14ac:dyDescent="0.25">
      <c r="B183" s="97" t="str">
        <f t="shared" si="51"/>
        <v>MGen</v>
      </c>
      <c r="C183" s="98">
        <f>IF(ISTEXT(D183),MAX($C$6:$C182)+1,"")</f>
        <v>167</v>
      </c>
      <c r="D183" s="99" t="s">
        <v>11</v>
      </c>
      <c r="E183" s="125" t="s">
        <v>166</v>
      </c>
      <c r="F183" s="202" t="s">
        <v>43</v>
      </c>
      <c r="G183" s="197"/>
      <c r="H183" s="208"/>
      <c r="I183" s="214">
        <f t="shared" si="47"/>
        <v>1</v>
      </c>
      <c r="J183" s="215">
        <f t="shared" si="48"/>
        <v>0</v>
      </c>
      <c r="K183" s="210">
        <f>I183*J183</f>
        <v>0</v>
      </c>
      <c r="L183" s="36"/>
    </row>
    <row r="184" spans="2:13" ht="30" customHeight="1" x14ac:dyDescent="0.25">
      <c r="B184" s="97" t="str">
        <f t="shared" si="51"/>
        <v>MGen</v>
      </c>
      <c r="C184" s="98">
        <f>IF(ISTEXT(D184),MAX($C$6:$C183)+1,"")</f>
        <v>168</v>
      </c>
      <c r="D184" s="99" t="s">
        <v>11</v>
      </c>
      <c r="E184" s="125" t="s">
        <v>167</v>
      </c>
      <c r="F184" s="202" t="s">
        <v>43</v>
      </c>
      <c r="G184" s="197"/>
      <c r="H184" s="208"/>
      <c r="I184" s="214">
        <f t="shared" si="47"/>
        <v>1</v>
      </c>
      <c r="J184" s="215">
        <f t="shared" si="48"/>
        <v>0</v>
      </c>
      <c r="K184" s="210">
        <f t="shared" ref="K184:K189" si="52">I184*J184</f>
        <v>0</v>
      </c>
      <c r="L184" s="36"/>
    </row>
    <row r="185" spans="2:13" ht="30" customHeight="1" x14ac:dyDescent="0.25">
      <c r="B185" s="97" t="str">
        <f t="shared" si="51"/>
        <v>MGen</v>
      </c>
      <c r="C185" s="98">
        <f>IF(ISTEXT(D185),MAX($C$6:$C184)+1,"")</f>
        <v>169</v>
      </c>
      <c r="D185" s="99" t="s">
        <v>9</v>
      </c>
      <c r="E185" s="125" t="s">
        <v>168</v>
      </c>
      <c r="F185" s="202" t="s">
        <v>43</v>
      </c>
      <c r="G185" s="197"/>
      <c r="H185" s="208"/>
      <c r="I185" s="214">
        <f t="shared" si="47"/>
        <v>3</v>
      </c>
      <c r="J185" s="215">
        <f t="shared" si="48"/>
        <v>0</v>
      </c>
      <c r="K185" s="210">
        <f t="shared" si="52"/>
        <v>0</v>
      </c>
      <c r="L185" s="36"/>
    </row>
    <row r="186" spans="2:13" ht="30" customHeight="1" x14ac:dyDescent="0.25">
      <c r="B186" s="97" t="str">
        <f t="shared" si="51"/>
        <v>MGen</v>
      </c>
      <c r="C186" s="98">
        <f>IF(ISTEXT(D186),MAX($C$6:$C185)+1,"")</f>
        <v>170</v>
      </c>
      <c r="D186" s="99" t="s">
        <v>9</v>
      </c>
      <c r="E186" s="125" t="s">
        <v>169</v>
      </c>
      <c r="F186" s="202" t="s">
        <v>43</v>
      </c>
      <c r="G186" s="197"/>
      <c r="H186" s="208"/>
      <c r="I186" s="214">
        <f t="shared" si="47"/>
        <v>3</v>
      </c>
      <c r="J186" s="215">
        <f t="shared" si="48"/>
        <v>0</v>
      </c>
      <c r="K186" s="210">
        <f t="shared" si="52"/>
        <v>0</v>
      </c>
      <c r="L186" s="36"/>
    </row>
    <row r="187" spans="2:13" ht="30" customHeight="1" x14ac:dyDescent="0.25">
      <c r="B187" s="120" t="str">
        <f t="shared" ref="B187" si="53">IF(C187="","",$B$5)</f>
        <v/>
      </c>
      <c r="C187" s="121" t="str">
        <f>IF(ISTEXT(D187),MAX($C$6:$C185)+1,"")</f>
        <v/>
      </c>
      <c r="D187" s="121"/>
      <c r="E187" s="122" t="s">
        <v>170</v>
      </c>
      <c r="F187" s="123"/>
      <c r="G187" s="123"/>
      <c r="H187" s="123"/>
      <c r="I187" s="123"/>
      <c r="J187" s="123"/>
      <c r="K187" s="123"/>
      <c r="L187" s="119"/>
    </row>
    <row r="188" spans="2:13" ht="30" customHeight="1" x14ac:dyDescent="0.25">
      <c r="B188" s="97" t="str">
        <f t="shared" ref="B188:B194" si="54">IF(C188="","",$B$5)</f>
        <v>MGen</v>
      </c>
      <c r="C188" s="98">
        <f>IF(ISTEXT(D188),MAX($C$6:$C186)+1,"")</f>
        <v>171</v>
      </c>
      <c r="D188" s="99" t="s">
        <v>9</v>
      </c>
      <c r="E188" s="125" t="s">
        <v>171</v>
      </c>
      <c r="F188" s="202" t="s">
        <v>43</v>
      </c>
      <c r="G188" s="197"/>
      <c r="H188" s="208"/>
      <c r="I188" s="214">
        <f t="shared" si="47"/>
        <v>3</v>
      </c>
      <c r="J188" s="215">
        <f t="shared" si="48"/>
        <v>0</v>
      </c>
      <c r="K188" s="210">
        <f t="shared" si="52"/>
        <v>0</v>
      </c>
      <c r="L188" s="36"/>
    </row>
    <row r="189" spans="2:13" ht="30" customHeight="1" x14ac:dyDescent="0.25">
      <c r="B189" s="97" t="str">
        <f t="shared" si="54"/>
        <v>MGen</v>
      </c>
      <c r="C189" s="98">
        <f>IF(ISTEXT(D189),MAX($C$6:$C188)+1,"")</f>
        <v>172</v>
      </c>
      <c r="D189" s="99" t="s">
        <v>10</v>
      </c>
      <c r="E189" s="125" t="s">
        <v>172</v>
      </c>
      <c r="F189" s="202" t="s">
        <v>43</v>
      </c>
      <c r="G189" s="197"/>
      <c r="H189" s="208"/>
      <c r="I189" s="214">
        <f t="shared" si="47"/>
        <v>2</v>
      </c>
      <c r="J189" s="215">
        <f t="shared" si="48"/>
        <v>0</v>
      </c>
      <c r="K189" s="210">
        <f t="shared" si="52"/>
        <v>0</v>
      </c>
      <c r="L189" s="36"/>
    </row>
    <row r="190" spans="2:13" ht="30" customHeight="1" x14ac:dyDescent="0.25">
      <c r="B190" s="97" t="str">
        <f t="shared" si="54"/>
        <v>MGen</v>
      </c>
      <c r="C190" s="98">
        <f>IF(ISTEXT(D190),MAX($C$6:$C189)+1,"")</f>
        <v>173</v>
      </c>
      <c r="D190" s="99" t="s">
        <v>10</v>
      </c>
      <c r="E190" s="125" t="s">
        <v>173</v>
      </c>
      <c r="F190" s="202" t="s">
        <v>43</v>
      </c>
      <c r="G190" s="197"/>
      <c r="H190" s="208"/>
      <c r="I190" s="214">
        <f t="shared" si="47"/>
        <v>2</v>
      </c>
      <c r="J190" s="215">
        <f t="shared" si="48"/>
        <v>0</v>
      </c>
      <c r="K190" s="210">
        <f>I190*J190</f>
        <v>0</v>
      </c>
      <c r="L190" s="36"/>
    </row>
    <row r="191" spans="2:13" ht="30" customHeight="1" x14ac:dyDescent="0.25">
      <c r="B191" s="97" t="str">
        <f t="shared" si="54"/>
        <v>MGen</v>
      </c>
      <c r="C191" s="98">
        <f>IF(ISTEXT(D191),MAX($C$6:$C190)+1,"")</f>
        <v>174</v>
      </c>
      <c r="D191" s="99" t="s">
        <v>10</v>
      </c>
      <c r="E191" s="125" t="s">
        <v>174</v>
      </c>
      <c r="F191" s="202" t="s">
        <v>43</v>
      </c>
      <c r="G191" s="197"/>
      <c r="H191" s="208"/>
      <c r="I191" s="214">
        <f t="shared" si="47"/>
        <v>2</v>
      </c>
      <c r="J191" s="215">
        <f t="shared" si="48"/>
        <v>0</v>
      </c>
      <c r="K191" s="210">
        <f t="shared" ref="K191:K196" si="55">I191*J191</f>
        <v>0</v>
      </c>
      <c r="L191" s="36"/>
    </row>
    <row r="192" spans="2:13" ht="30" customHeight="1" x14ac:dyDescent="0.25">
      <c r="B192" s="97" t="str">
        <f t="shared" si="54"/>
        <v>MGen</v>
      </c>
      <c r="C192" s="98">
        <f>IF(ISTEXT(D192),MAX($C$6:$C191)+1,"")</f>
        <v>175</v>
      </c>
      <c r="D192" s="99" t="s">
        <v>9</v>
      </c>
      <c r="E192" s="125" t="s">
        <v>175</v>
      </c>
      <c r="F192" s="202" t="s">
        <v>43</v>
      </c>
      <c r="G192" s="197"/>
      <c r="H192" s="208"/>
      <c r="I192" s="214">
        <f t="shared" si="47"/>
        <v>3</v>
      </c>
      <c r="J192" s="215">
        <f t="shared" si="48"/>
        <v>0</v>
      </c>
      <c r="K192" s="210">
        <f t="shared" si="55"/>
        <v>0</v>
      </c>
      <c r="L192" s="36"/>
    </row>
    <row r="193" spans="2:12" ht="30" customHeight="1" x14ac:dyDescent="0.25">
      <c r="B193" s="97" t="str">
        <f t="shared" si="54"/>
        <v>MGen</v>
      </c>
      <c r="C193" s="98">
        <f>IF(ISTEXT(D193),MAX($C$6:$C192)+1,"")</f>
        <v>176</v>
      </c>
      <c r="D193" s="99" t="s">
        <v>41</v>
      </c>
      <c r="E193" s="125" t="s">
        <v>176</v>
      </c>
      <c r="F193" s="109" t="s">
        <v>43</v>
      </c>
      <c r="G193" s="102"/>
      <c r="H193" s="114"/>
      <c r="I193" s="117">
        <f t="shared" si="47"/>
        <v>0</v>
      </c>
      <c r="J193" s="118">
        <f t="shared" si="48"/>
        <v>0</v>
      </c>
      <c r="K193" s="116">
        <f t="shared" si="55"/>
        <v>0</v>
      </c>
      <c r="L193" s="107"/>
    </row>
    <row r="194" spans="2:12" ht="30" customHeight="1" x14ac:dyDescent="0.25">
      <c r="B194" s="97" t="str">
        <f t="shared" si="54"/>
        <v>MGen</v>
      </c>
      <c r="C194" s="98">
        <f>IF(ISTEXT(D194),MAX($C$6:$C193)+1,"")</f>
        <v>177</v>
      </c>
      <c r="D194" s="99" t="s">
        <v>11</v>
      </c>
      <c r="E194" s="125" t="s">
        <v>177</v>
      </c>
      <c r="F194" s="202" t="s">
        <v>43</v>
      </c>
      <c r="G194" s="197"/>
      <c r="H194" s="208"/>
      <c r="I194" s="214">
        <f t="shared" si="47"/>
        <v>1</v>
      </c>
      <c r="J194" s="215">
        <f t="shared" si="48"/>
        <v>0</v>
      </c>
      <c r="K194" s="210">
        <f t="shared" si="55"/>
        <v>0</v>
      </c>
      <c r="L194" s="36"/>
    </row>
    <row r="195" spans="2:12" ht="30" customHeight="1" x14ac:dyDescent="0.25">
      <c r="B195" s="120" t="str">
        <f t="shared" ref="B195" si="56">IF(C195="","",$B$5)</f>
        <v/>
      </c>
      <c r="C195" s="121" t="str">
        <f>IF(ISTEXT(D195),MAX($C$6:$C193)+1,"")</f>
        <v/>
      </c>
      <c r="D195" s="121"/>
      <c r="E195" s="122" t="s">
        <v>178</v>
      </c>
      <c r="F195" s="123"/>
      <c r="G195" s="123"/>
      <c r="H195" s="123"/>
      <c r="I195" s="123"/>
      <c r="J195" s="123"/>
      <c r="K195" s="123"/>
      <c r="L195" s="119"/>
    </row>
    <row r="196" spans="2:12" ht="30" customHeight="1" x14ac:dyDescent="0.25">
      <c r="B196" s="97" t="str">
        <f t="shared" ref="B196:B203" si="57">IF(C196="","",$B$5)</f>
        <v>MGen</v>
      </c>
      <c r="C196" s="98">
        <f>IF(ISTEXT(D196),MAX($C$6:$C194)+1,"")</f>
        <v>178</v>
      </c>
      <c r="D196" s="99" t="s">
        <v>9</v>
      </c>
      <c r="E196" s="125" t="s">
        <v>179</v>
      </c>
      <c r="F196" s="202" t="s">
        <v>43</v>
      </c>
      <c r="G196" s="197"/>
      <c r="H196" s="208"/>
      <c r="I196" s="214">
        <f t="shared" si="47"/>
        <v>3</v>
      </c>
      <c r="J196" s="215">
        <f t="shared" si="48"/>
        <v>0</v>
      </c>
      <c r="K196" s="210">
        <f t="shared" si="55"/>
        <v>0</v>
      </c>
      <c r="L196" s="36"/>
    </row>
    <row r="197" spans="2:12" ht="30" customHeight="1" x14ac:dyDescent="0.25">
      <c r="B197" s="97" t="str">
        <f t="shared" si="57"/>
        <v>MGen</v>
      </c>
      <c r="C197" s="98">
        <f>IF(ISTEXT(D197),MAX($C$6:$C196)+1,"")</f>
        <v>179</v>
      </c>
      <c r="D197" s="99" t="s">
        <v>9</v>
      </c>
      <c r="E197" s="125" t="s">
        <v>180</v>
      </c>
      <c r="F197" s="202" t="s">
        <v>43</v>
      </c>
      <c r="G197" s="197"/>
      <c r="H197" s="208"/>
      <c r="I197" s="214">
        <f t="shared" si="47"/>
        <v>3</v>
      </c>
      <c r="J197" s="215">
        <f t="shared" si="48"/>
        <v>0</v>
      </c>
      <c r="K197" s="210">
        <f>I197*J197</f>
        <v>0</v>
      </c>
      <c r="L197" s="36"/>
    </row>
    <row r="198" spans="2:12" ht="30" customHeight="1" x14ac:dyDescent="0.25">
      <c r="B198" s="97" t="str">
        <f t="shared" si="57"/>
        <v>MGen</v>
      </c>
      <c r="C198" s="98">
        <f>IF(ISTEXT(D198),MAX($C$6:$C197)+1,"")</f>
        <v>180</v>
      </c>
      <c r="D198" s="99" t="s">
        <v>11</v>
      </c>
      <c r="E198" s="125" t="s">
        <v>181</v>
      </c>
      <c r="F198" s="202" t="s">
        <v>43</v>
      </c>
      <c r="G198" s="197"/>
      <c r="H198" s="208"/>
      <c r="I198" s="214">
        <f t="shared" si="47"/>
        <v>1</v>
      </c>
      <c r="J198" s="215">
        <f t="shared" si="48"/>
        <v>0</v>
      </c>
      <c r="K198" s="210">
        <f t="shared" ref="K198:K202" si="58">I198*J198</f>
        <v>0</v>
      </c>
      <c r="L198" s="36"/>
    </row>
    <row r="199" spans="2:12" ht="30" customHeight="1" x14ac:dyDescent="0.25">
      <c r="B199" s="97" t="str">
        <f t="shared" si="57"/>
        <v>MGen</v>
      </c>
      <c r="C199" s="98">
        <f>IF(ISTEXT(D199),MAX($C$6:$C198)+1,"")</f>
        <v>181</v>
      </c>
      <c r="D199" s="99" t="s">
        <v>9</v>
      </c>
      <c r="E199" s="125" t="s">
        <v>182</v>
      </c>
      <c r="F199" s="202" t="s">
        <v>43</v>
      </c>
      <c r="G199" s="197"/>
      <c r="H199" s="208"/>
      <c r="I199" s="214">
        <f t="shared" si="47"/>
        <v>3</v>
      </c>
      <c r="J199" s="215">
        <f t="shared" si="48"/>
        <v>0</v>
      </c>
      <c r="K199" s="210">
        <f t="shared" si="58"/>
        <v>0</v>
      </c>
      <c r="L199" s="36"/>
    </row>
    <row r="200" spans="2:12" ht="30" customHeight="1" x14ac:dyDescent="0.25">
      <c r="B200" s="97" t="str">
        <f t="shared" si="57"/>
        <v>MGen</v>
      </c>
      <c r="C200" s="98">
        <f>IF(ISTEXT(D200),MAX($C$6:$C199)+1,"")</f>
        <v>182</v>
      </c>
      <c r="D200" s="99" t="s">
        <v>10</v>
      </c>
      <c r="E200" s="125" t="s">
        <v>183</v>
      </c>
      <c r="F200" s="202" t="s">
        <v>43</v>
      </c>
      <c r="G200" s="197"/>
      <c r="H200" s="208"/>
      <c r="I200" s="214">
        <f t="shared" si="47"/>
        <v>2</v>
      </c>
      <c r="J200" s="215">
        <f t="shared" si="48"/>
        <v>0</v>
      </c>
      <c r="K200" s="210">
        <f t="shared" si="58"/>
        <v>0</v>
      </c>
      <c r="L200" s="36"/>
    </row>
    <row r="201" spans="2:12" ht="30" customHeight="1" x14ac:dyDescent="0.25">
      <c r="B201" s="97" t="str">
        <f t="shared" si="57"/>
        <v>MGen</v>
      </c>
      <c r="C201" s="98">
        <f>IF(ISTEXT(D201),MAX($C$6:$C200)+1,"")</f>
        <v>183</v>
      </c>
      <c r="D201" s="99" t="s">
        <v>9</v>
      </c>
      <c r="E201" s="125" t="s">
        <v>184</v>
      </c>
      <c r="F201" s="202" t="s">
        <v>43</v>
      </c>
      <c r="G201" s="197"/>
      <c r="H201" s="208"/>
      <c r="I201" s="214">
        <f t="shared" si="47"/>
        <v>3</v>
      </c>
      <c r="J201" s="215">
        <f t="shared" si="48"/>
        <v>0</v>
      </c>
      <c r="K201" s="210">
        <f t="shared" si="58"/>
        <v>0</v>
      </c>
      <c r="L201" s="36"/>
    </row>
    <row r="202" spans="2:12" ht="30" customHeight="1" x14ac:dyDescent="0.25">
      <c r="B202" s="97" t="str">
        <f t="shared" si="57"/>
        <v>MGen</v>
      </c>
      <c r="C202" s="98">
        <f>IF(ISTEXT(D202),MAX($C$6:$C201)+1,"")</f>
        <v>184</v>
      </c>
      <c r="D202" s="99" t="s">
        <v>11</v>
      </c>
      <c r="E202" s="125" t="s">
        <v>185</v>
      </c>
      <c r="F202" s="202" t="s">
        <v>43</v>
      </c>
      <c r="G202" s="197"/>
      <c r="H202" s="208"/>
      <c r="I202" s="214">
        <f t="shared" si="47"/>
        <v>1</v>
      </c>
      <c r="J202" s="215">
        <f t="shared" si="48"/>
        <v>0</v>
      </c>
      <c r="K202" s="210">
        <f t="shared" si="58"/>
        <v>0</v>
      </c>
      <c r="L202" s="36"/>
    </row>
    <row r="203" spans="2:12" ht="30" customHeight="1" x14ac:dyDescent="0.25">
      <c r="B203" s="97" t="str">
        <f t="shared" si="57"/>
        <v>MGen</v>
      </c>
      <c r="C203" s="98">
        <f>IF(ISTEXT(D203),MAX($C$6:$C202)+1,"")</f>
        <v>185</v>
      </c>
      <c r="D203" s="99" t="s">
        <v>11</v>
      </c>
      <c r="E203" s="125" t="s">
        <v>186</v>
      </c>
      <c r="F203" s="202" t="s">
        <v>43</v>
      </c>
      <c r="G203" s="197"/>
      <c r="H203" s="208"/>
      <c r="I203" s="214">
        <f t="shared" si="47"/>
        <v>1</v>
      </c>
      <c r="J203" s="215">
        <f t="shared" si="48"/>
        <v>0</v>
      </c>
      <c r="K203" s="210">
        <f>I203*J203</f>
        <v>0</v>
      </c>
      <c r="L203" s="36"/>
    </row>
    <row r="204" spans="2:12" ht="8.25" customHeight="1" x14ac:dyDescent="0.25"/>
  </sheetData>
  <sheetProtection algorithmName="SHA-512" hashValue="gu1kl+a9natgwYsTq97euAH5LcWpJkH4dMzrpT2SGmN7zdQr5oWkdCRWGYXEsns/HwDqIwo71WdzQUM6PEAsYg==" saltValue="0g3gxU7Viq2blReYj9lT2Q==" spinCount="100000" sheet="1" selectLockedCells="1"/>
  <conditionalFormatting sqref="D5:D7 D107:D137">
    <cfRule type="cellIs" dxfId="125" priority="216" operator="equal">
      <formula>"N/A"</formula>
    </cfRule>
    <cfRule type="cellIs" dxfId="124" priority="214" operator="equal">
      <formula>"Important"</formula>
    </cfRule>
    <cfRule type="cellIs" dxfId="123" priority="215" operator="equal">
      <formula>"Crucial"</formula>
    </cfRule>
  </conditionalFormatting>
  <conditionalFormatting sqref="D9:D19">
    <cfRule type="cellIs" dxfId="122" priority="121" operator="equal">
      <formula>"Important"</formula>
    </cfRule>
    <cfRule type="cellIs" dxfId="121" priority="122" operator="equal">
      <formula>"Crucial"</formula>
    </cfRule>
    <cfRule type="cellIs" dxfId="120" priority="123" operator="equal">
      <formula>"N/A"</formula>
    </cfRule>
  </conditionalFormatting>
  <conditionalFormatting sqref="D22:D53">
    <cfRule type="cellIs" dxfId="119" priority="57" operator="equal">
      <formula>"N/A"</formula>
    </cfRule>
    <cfRule type="cellIs" dxfId="118" priority="56" operator="equal">
      <formula>"Crucial"</formula>
    </cfRule>
    <cfRule type="cellIs" dxfId="117" priority="55" operator="equal">
      <formula>"Important"</formula>
    </cfRule>
  </conditionalFormatting>
  <conditionalFormatting sqref="D55:D105">
    <cfRule type="cellIs" dxfId="116" priority="48" operator="equal">
      <formula>"N/A"</formula>
    </cfRule>
    <cfRule type="cellIs" dxfId="115" priority="47" operator="equal">
      <formula>"Crucial"</formula>
    </cfRule>
    <cfRule type="cellIs" dxfId="114" priority="46" operator="equal">
      <formula>"Important"</formula>
    </cfRule>
  </conditionalFormatting>
  <conditionalFormatting sqref="D139:D143">
    <cfRule type="cellIs" dxfId="113" priority="32" operator="equal">
      <formula>"Crucial"</formula>
    </cfRule>
    <cfRule type="cellIs" dxfId="112" priority="31" operator="equal">
      <formula>"Important"</formula>
    </cfRule>
    <cfRule type="cellIs" dxfId="111" priority="33" operator="equal">
      <formula>"N/A"</formula>
    </cfRule>
  </conditionalFormatting>
  <conditionalFormatting sqref="D145:D163">
    <cfRule type="cellIs" dxfId="110" priority="27" operator="equal">
      <formula>"N/A"</formula>
    </cfRule>
    <cfRule type="cellIs" dxfId="109" priority="26" operator="equal">
      <formula>"Crucial"</formula>
    </cfRule>
    <cfRule type="cellIs" dxfId="108" priority="25" operator="equal">
      <formula>"Important"</formula>
    </cfRule>
  </conditionalFormatting>
  <conditionalFormatting sqref="D165:D167">
    <cfRule type="cellIs" dxfId="107" priority="24" operator="equal">
      <formula>"N/A"</formula>
    </cfRule>
    <cfRule type="cellIs" dxfId="106" priority="23" operator="equal">
      <formula>"Crucial"</formula>
    </cfRule>
    <cfRule type="cellIs" dxfId="105" priority="22" operator="equal">
      <formula>"Important"</formula>
    </cfRule>
  </conditionalFormatting>
  <conditionalFormatting sqref="D170:D176">
    <cfRule type="cellIs" dxfId="104" priority="21" operator="equal">
      <formula>"N/A"</formula>
    </cfRule>
    <cfRule type="cellIs" dxfId="103" priority="20" operator="equal">
      <formula>"Crucial"</formula>
    </cfRule>
    <cfRule type="cellIs" dxfId="102" priority="19" operator="equal">
      <formula>"Important"</formula>
    </cfRule>
  </conditionalFormatting>
  <conditionalFormatting sqref="D179:D186">
    <cfRule type="cellIs" dxfId="101" priority="6" operator="equal">
      <formula>"N/A"</formula>
    </cfRule>
    <cfRule type="cellIs" dxfId="100" priority="5" operator="equal">
      <formula>"Crucial"</formula>
    </cfRule>
    <cfRule type="cellIs" dxfId="99" priority="4" operator="equal">
      <formula>"Important"</formula>
    </cfRule>
  </conditionalFormatting>
  <conditionalFormatting sqref="D188:D194">
    <cfRule type="cellIs" dxfId="98" priority="2" operator="equal">
      <formula>"Crucial"</formula>
    </cfRule>
    <cfRule type="cellIs" dxfId="97" priority="3" operator="equal">
      <formula>"N/A"</formula>
    </cfRule>
    <cfRule type="cellIs" dxfId="96" priority="1" operator="equal">
      <formula>"Important"</formula>
    </cfRule>
  </conditionalFormatting>
  <conditionalFormatting sqref="D196:D203">
    <cfRule type="cellIs" dxfId="95" priority="12" operator="equal">
      <formula>"N/A"</formula>
    </cfRule>
    <cfRule type="cellIs" dxfId="94" priority="11" operator="equal">
      <formula>"Crucial"</formula>
    </cfRule>
    <cfRule type="cellIs" dxfId="93" priority="10" operator="equal">
      <formula>"Important"</formula>
    </cfRule>
  </conditionalFormatting>
  <conditionalFormatting sqref="F5:F7 F107:F137">
    <cfRule type="cellIs" dxfId="92" priority="252" operator="equal">
      <formula>"Exception"</formula>
    </cfRule>
    <cfRule type="cellIs" dxfId="91" priority="250" operator="equal">
      <formula>"Function Not Available"</formula>
    </cfRule>
    <cfRule type="cellIs" dxfId="90" priority="251" operator="equal">
      <formula>"Function Available"</formula>
    </cfRule>
  </conditionalFormatting>
  <conditionalFormatting sqref="F9:F19">
    <cfRule type="cellIs" dxfId="89" priority="247" operator="equal">
      <formula>"Function Not Available"</formula>
    </cfRule>
    <cfRule type="cellIs" dxfId="88" priority="248" operator="equal">
      <formula>"Function Available"</formula>
    </cfRule>
    <cfRule type="cellIs" dxfId="87" priority="249" operator="equal">
      <formula>"Exception"</formula>
    </cfRule>
  </conditionalFormatting>
  <conditionalFormatting sqref="F22:F53">
    <cfRule type="cellIs" dxfId="86" priority="246" operator="equal">
      <formula>"Exception"</formula>
    </cfRule>
    <cfRule type="cellIs" dxfId="85" priority="244" operator="equal">
      <formula>"Function Not Available"</formula>
    </cfRule>
    <cfRule type="cellIs" dxfId="84" priority="245" operator="equal">
      <formula>"Function Available"</formula>
    </cfRule>
  </conditionalFormatting>
  <conditionalFormatting sqref="F55:F105">
    <cfRule type="cellIs" dxfId="83" priority="109" operator="equal">
      <formula>"Function Not Available"</formula>
    </cfRule>
    <cfRule type="cellIs" dxfId="82" priority="111" operator="equal">
      <formula>"Exception"</formula>
    </cfRule>
    <cfRule type="cellIs" dxfId="81" priority="110" operator="equal">
      <formula>"Function Available"</formula>
    </cfRule>
  </conditionalFormatting>
  <conditionalFormatting sqref="F139:F143">
    <cfRule type="cellIs" dxfId="80" priority="97" operator="equal">
      <formula>"Function Not Available"</formula>
    </cfRule>
    <cfRule type="cellIs" dxfId="79" priority="98" operator="equal">
      <formula>"Function Available"</formula>
    </cfRule>
    <cfRule type="cellIs" dxfId="78" priority="99" operator="equal">
      <formula>"Exception"</formula>
    </cfRule>
  </conditionalFormatting>
  <conditionalFormatting sqref="F145:F163">
    <cfRule type="cellIs" dxfId="77" priority="91" operator="equal">
      <formula>"Function Not Available"</formula>
    </cfRule>
    <cfRule type="cellIs" dxfId="76" priority="92" operator="equal">
      <formula>"Function Available"</formula>
    </cfRule>
    <cfRule type="cellIs" dxfId="75" priority="93" operator="equal">
      <formula>"Exception"</formula>
    </cfRule>
  </conditionalFormatting>
  <conditionalFormatting sqref="F165:F167">
    <cfRule type="cellIs" dxfId="74" priority="87" operator="equal">
      <formula>"Exception"</formula>
    </cfRule>
    <cfRule type="cellIs" dxfId="73" priority="85" operator="equal">
      <formula>"Function Not Available"</formula>
    </cfRule>
    <cfRule type="cellIs" dxfId="72" priority="86" operator="equal">
      <formula>"Function Available"</formula>
    </cfRule>
  </conditionalFormatting>
  <conditionalFormatting sqref="F170:F176">
    <cfRule type="cellIs" dxfId="71" priority="79" operator="equal">
      <formula>"Function Not Available"</formula>
    </cfRule>
    <cfRule type="cellIs" dxfId="70" priority="80" operator="equal">
      <formula>"Function Available"</formula>
    </cfRule>
    <cfRule type="cellIs" dxfId="69" priority="81" operator="equal">
      <formula>"Exception"</formula>
    </cfRule>
  </conditionalFormatting>
  <conditionalFormatting sqref="F179:F186">
    <cfRule type="cellIs" dxfId="68" priority="74" operator="equal">
      <formula>"Function Available"</formula>
    </cfRule>
    <cfRule type="cellIs" dxfId="67" priority="75" operator="equal">
      <formula>"Exception"</formula>
    </cfRule>
    <cfRule type="cellIs" dxfId="66" priority="73" operator="equal">
      <formula>"Function Not Available"</formula>
    </cfRule>
  </conditionalFormatting>
  <conditionalFormatting sqref="F188:F194">
    <cfRule type="cellIs" dxfId="65" priority="69" operator="equal">
      <formula>"Exception"</formula>
    </cfRule>
    <cfRule type="cellIs" dxfId="64" priority="68" operator="equal">
      <formula>"Function Available"</formula>
    </cfRule>
    <cfRule type="cellIs" dxfId="63" priority="67" operator="equal">
      <formula>"Function Not Available"</formula>
    </cfRule>
  </conditionalFormatting>
  <conditionalFormatting sqref="F196:F203">
    <cfRule type="cellIs" dxfId="62" priority="63" operator="equal">
      <formula>"Exception"</formula>
    </cfRule>
    <cfRule type="cellIs" dxfId="61" priority="62" operator="equal">
      <formula>"Function Available"</formula>
    </cfRule>
    <cfRule type="cellIs" dxfId="60" priority="61" operator="equal">
      <formula>"Function Not Available"</formula>
    </cfRule>
  </conditionalFormatting>
  <dataValidations count="4">
    <dataValidation type="list" allowBlank="1" showInputMessage="1" showErrorMessage="1" sqref="F5:F6" xr:uid="{00000000-0002-0000-0200-000000000000}">
      <formula1>AvailabilityType</formula1>
    </dataValidation>
    <dataValidation type="list" allowBlank="1" showInputMessage="1" showErrorMessage="1" sqref="D5:D6 D9:D19 D55:D105 D107:D137 D139:D143 D145:D163 D165:D167 D170:D176 D22:D53 D179:D186 D196:D203 D188:D194" xr:uid="{BDB3FB40-8BBB-4DFD-96D0-5A6E20F911DF}">
      <formula1>SpecType</formula1>
    </dataValidation>
    <dataValidation type="list" allowBlank="1" showInputMessage="1" showErrorMessage="1" errorTitle="Invalid specification type" error="Please enter a Specification type from the drop-down list." sqref="D7" xr:uid="{00000000-0002-0000-0200-000002000000}">
      <formula1>SpecType</formula1>
    </dataValidation>
    <dataValidation type="list" allowBlank="1" showInputMessage="1" showErrorMessage="1" errorTitle="Invalid specification type" error="Please enter a Specification type from the drop-down list." sqref="F9:F19 F7 F22:F53 F139:F143 F196:F203 F170:F176 F179:F186 F188:F194 F107:F137 F165:F167 F145:F163 F55:F105" xr:uid="{00000000-0002-0000-0200-000003000000}">
      <formula1>AvailabilityType</formula1>
    </dataValidation>
  </dataValidations>
  <pageMargins left="0.7" right="0.7" top="0.75" bottom="0.75" header="0.3" footer="0.3"/>
  <pageSetup scale="45" fitToHeight="0" orientation="portrait" r:id="rId1"/>
  <headerFooter>
    <oddHeader>&amp;CGCCDA
&amp;F&amp;R&amp;A</oddHeader>
    <oddFooter>&amp;LTSSI Consulting LLC, March 2026&amp;CPage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21"/>
  <sheetViews>
    <sheetView showGridLines="0" zoomScale="80" zoomScaleNormal="80" zoomScalePageLayoutView="40" workbookViewId="0">
      <selection activeCell="F4" sqref="F4"/>
    </sheetView>
  </sheetViews>
  <sheetFormatPr defaultColWidth="0" defaultRowHeight="15" zeroHeight="1" x14ac:dyDescent="0.25"/>
  <cols>
    <col min="1" max="1" width="0.85546875" customWidth="1"/>
    <col min="2" max="2" width="11.7109375" customWidth="1"/>
    <col min="3" max="3" width="11.42578125" customWidth="1"/>
    <col min="4" max="4" width="23.85546875" customWidth="1"/>
    <col min="5" max="5" width="65.7109375" customWidth="1"/>
    <col min="6" max="6" width="29.42578125" customWidth="1"/>
    <col min="7" max="7" width="15.42578125" style="77" hidden="1" customWidth="1"/>
    <col min="8" max="11" width="12.7109375" hidden="1" customWidth="1"/>
    <col min="12" max="12" width="55.42578125" customWidth="1"/>
    <col min="13" max="13" width="3" customWidth="1"/>
    <col min="14" max="16384" width="9.140625" hidden="1"/>
  </cols>
  <sheetData>
    <row r="1" spans="2:13" ht="3.6" customHeight="1" thickBot="1" x14ac:dyDescent="0.3"/>
    <row r="2" spans="2:13" s="78" customFormat="1" ht="129" customHeight="1" thickBot="1" x14ac:dyDescent="0.25">
      <c r="B2" s="79" t="s">
        <v>44</v>
      </c>
      <c r="C2" s="79" t="s">
        <v>45</v>
      </c>
      <c r="D2" s="79" t="s">
        <v>46</v>
      </c>
      <c r="E2" s="79" t="s">
        <v>187</v>
      </c>
      <c r="F2" s="79" t="s">
        <v>42</v>
      </c>
      <c r="G2" s="80" t="s">
        <v>48</v>
      </c>
      <c r="H2" s="80" t="s">
        <v>49</v>
      </c>
      <c r="I2" s="81" t="s">
        <v>50</v>
      </c>
      <c r="J2" s="81" t="s">
        <v>51</v>
      </c>
      <c r="K2" s="82" t="s">
        <v>14</v>
      </c>
      <c r="L2" s="83" t="s">
        <v>52</v>
      </c>
    </row>
    <row r="3" spans="2:13" ht="16.5" thickBot="1" x14ac:dyDescent="0.3">
      <c r="B3" s="128" t="s">
        <v>188</v>
      </c>
      <c r="C3" s="129"/>
      <c r="D3" s="129"/>
      <c r="E3" s="129"/>
      <c r="F3" s="129"/>
      <c r="G3" s="127" t="s">
        <v>54</v>
      </c>
      <c r="H3" s="130">
        <f>COUNTA(D4:D502)</f>
        <v>16</v>
      </c>
      <c r="I3" s="88"/>
      <c r="J3" s="89" t="s">
        <v>55</v>
      </c>
      <c r="K3" s="131">
        <f>SUM(K4:K502)</f>
        <v>0</v>
      </c>
      <c r="L3" s="91"/>
    </row>
    <row r="4" spans="2:13" ht="30" customHeight="1" x14ac:dyDescent="0.25">
      <c r="B4" s="97" t="s">
        <v>189</v>
      </c>
      <c r="C4" s="98">
        <v>1</v>
      </c>
      <c r="D4" s="99" t="s">
        <v>9</v>
      </c>
      <c r="E4" s="100" t="s">
        <v>382</v>
      </c>
      <c r="F4" s="196" t="s">
        <v>43</v>
      </c>
      <c r="G4" s="197" t="s">
        <v>59</v>
      </c>
      <c r="H4" s="198">
        <f>COUNTIF(F4:F502,"Select from Drop Down")</f>
        <v>16</v>
      </c>
      <c r="I4" s="199">
        <f>VLOOKUP($D4,SpecData,2,FALSE)</f>
        <v>3</v>
      </c>
      <c r="J4" s="200">
        <f>VLOOKUP($F4,AvailabilityData,2,FALSE)</f>
        <v>0</v>
      </c>
      <c r="K4" s="201">
        <f>I4*J4</f>
        <v>0</v>
      </c>
      <c r="L4" s="36"/>
    </row>
    <row r="5" spans="2:13" ht="30" customHeight="1" x14ac:dyDescent="0.25">
      <c r="B5" s="97" t="str">
        <f>IF(C5="","",$B$4)</f>
        <v>MAVL</v>
      </c>
      <c r="C5" s="98">
        <v>2</v>
      </c>
      <c r="D5" s="99" t="s">
        <v>10</v>
      </c>
      <c r="E5" s="108" t="s">
        <v>384</v>
      </c>
      <c r="F5" s="202" t="s">
        <v>43</v>
      </c>
      <c r="G5" s="197" t="s">
        <v>61</v>
      </c>
      <c r="H5" s="198">
        <f>COUNTIF(F4:F502,"Function Available")</f>
        <v>0</v>
      </c>
      <c r="I5" s="199">
        <f>VLOOKUP($D5,SpecData,2,FALSE)</f>
        <v>2</v>
      </c>
      <c r="J5" s="200">
        <f>VLOOKUP($F5,AvailabilityData,2,FALSE)</f>
        <v>0</v>
      </c>
      <c r="K5" s="201">
        <f>I5*J5</f>
        <v>0</v>
      </c>
      <c r="L5" s="36"/>
    </row>
    <row r="6" spans="2:13" ht="30" customHeight="1" x14ac:dyDescent="0.25">
      <c r="B6" s="97" t="str">
        <f t="shared" ref="B6:B19" si="0">IF(C6="","",$B$4)</f>
        <v>MAVL</v>
      </c>
      <c r="C6" s="98">
        <v>3</v>
      </c>
      <c r="D6" s="99" t="s">
        <v>10</v>
      </c>
      <c r="E6" s="108" t="s">
        <v>383</v>
      </c>
      <c r="F6" s="196" t="s">
        <v>43</v>
      </c>
      <c r="G6" s="197" t="s">
        <v>63</v>
      </c>
      <c r="H6" s="208">
        <f>COUNTIF(F4:F502,"Function Not Available")</f>
        <v>0</v>
      </c>
      <c r="I6" s="199">
        <f t="shared" ref="I6:I12" si="1">VLOOKUP($D6,SpecData,2,FALSE)</f>
        <v>2</v>
      </c>
      <c r="J6" s="200">
        <f t="shared" ref="J6:J12" si="2">VLOOKUP($F6,AvailabilityData,2,FALSE)</f>
        <v>0</v>
      </c>
      <c r="K6" s="210">
        <f t="shared" ref="K6:K12" si="3">I6*J6</f>
        <v>0</v>
      </c>
      <c r="L6" s="36"/>
    </row>
    <row r="7" spans="2:13" ht="30" customHeight="1" x14ac:dyDescent="0.25">
      <c r="B7" s="97" t="str">
        <f t="shared" si="0"/>
        <v>MAVL</v>
      </c>
      <c r="C7" s="98">
        <f>IF(ISTEXT(D7),MAX($C$6:$C6)+1,"")</f>
        <v>4</v>
      </c>
      <c r="D7" s="99" t="s">
        <v>9</v>
      </c>
      <c r="E7" s="108" t="s">
        <v>385</v>
      </c>
      <c r="F7" s="202" t="s">
        <v>43</v>
      </c>
      <c r="G7" s="197" t="s">
        <v>65</v>
      </c>
      <c r="H7" s="208">
        <f>COUNTIF(F4:F502,"Exception")</f>
        <v>0</v>
      </c>
      <c r="I7" s="199">
        <f t="shared" si="1"/>
        <v>3</v>
      </c>
      <c r="J7" s="200">
        <f t="shared" si="2"/>
        <v>0</v>
      </c>
      <c r="K7" s="201">
        <f t="shared" si="3"/>
        <v>0</v>
      </c>
      <c r="L7" s="36"/>
    </row>
    <row r="8" spans="2:13" ht="30" customHeight="1" x14ac:dyDescent="0.25">
      <c r="B8" s="97" t="str">
        <f t="shared" si="0"/>
        <v>MAVL</v>
      </c>
      <c r="C8" s="98">
        <f>IF(ISTEXT(D8),MAX($C$6:$C7)+1,"")</f>
        <v>5</v>
      </c>
      <c r="D8" s="99" t="s">
        <v>9</v>
      </c>
      <c r="E8" s="108" t="s">
        <v>190</v>
      </c>
      <c r="F8" s="196" t="s">
        <v>43</v>
      </c>
      <c r="G8" s="197" t="s">
        <v>66</v>
      </c>
      <c r="H8" s="209">
        <f>COUNTIFS(D:D,"=Crucial",F:F,"=Select From Drop Down")</f>
        <v>8</v>
      </c>
      <c r="I8" s="199">
        <f t="shared" si="1"/>
        <v>3</v>
      </c>
      <c r="J8" s="200">
        <f t="shared" si="2"/>
        <v>0</v>
      </c>
      <c r="K8" s="210">
        <f t="shared" si="3"/>
        <v>0</v>
      </c>
      <c r="L8" s="36"/>
    </row>
    <row r="9" spans="2:13" ht="30" customHeight="1" x14ac:dyDescent="0.25">
      <c r="B9" s="97" t="str">
        <f t="shared" si="0"/>
        <v>MAVL</v>
      </c>
      <c r="C9" s="98">
        <f>IF(ISTEXT(D9),MAX($C$6:$C8)+1,"")</f>
        <v>6</v>
      </c>
      <c r="D9" s="99" t="s">
        <v>9</v>
      </c>
      <c r="E9" s="108" t="s">
        <v>386</v>
      </c>
      <c r="F9" s="202" t="s">
        <v>43</v>
      </c>
      <c r="G9" s="197" t="s">
        <v>67</v>
      </c>
      <c r="H9" s="209">
        <f>COUNTIFS(D:D,"=Crucial",F:F,"=Function Available")</f>
        <v>0</v>
      </c>
      <c r="I9" s="199">
        <f t="shared" si="1"/>
        <v>3</v>
      </c>
      <c r="J9" s="200">
        <f t="shared" si="2"/>
        <v>0</v>
      </c>
      <c r="K9" s="210">
        <f t="shared" si="3"/>
        <v>0</v>
      </c>
      <c r="L9" s="36"/>
    </row>
    <row r="10" spans="2:13" ht="61.9" customHeight="1" x14ac:dyDescent="0.25">
      <c r="B10" s="97" t="str">
        <f t="shared" si="0"/>
        <v>MAVL</v>
      </c>
      <c r="C10" s="98">
        <f>IF(ISTEXT(D10),MAX($C$6:$C9)+1,"")</f>
        <v>7</v>
      </c>
      <c r="D10" s="99" t="s">
        <v>9</v>
      </c>
      <c r="E10" s="108" t="s">
        <v>504</v>
      </c>
      <c r="F10" s="196" t="s">
        <v>43</v>
      </c>
      <c r="G10" s="197" t="s">
        <v>69</v>
      </c>
      <c r="H10" s="209">
        <f>COUNTIFS(D:D,"=Crucial",F:F,"=Function Not Available")</f>
        <v>0</v>
      </c>
      <c r="I10" s="199">
        <f t="shared" si="1"/>
        <v>3</v>
      </c>
      <c r="J10" s="200">
        <f t="shared" si="2"/>
        <v>0</v>
      </c>
      <c r="K10" s="210">
        <f t="shared" si="3"/>
        <v>0</v>
      </c>
      <c r="L10" s="36"/>
    </row>
    <row r="11" spans="2:13" ht="45.75" customHeight="1" x14ac:dyDescent="0.25">
      <c r="B11" s="97" t="str">
        <f t="shared" si="0"/>
        <v>MAVL</v>
      </c>
      <c r="C11" s="98">
        <f>IF(ISTEXT(D11),MAX($C$6:$C10)+1,"")</f>
        <v>8</v>
      </c>
      <c r="D11" s="99" t="s">
        <v>9</v>
      </c>
      <c r="E11" s="108" t="s">
        <v>387</v>
      </c>
      <c r="F11" s="202" t="s">
        <v>43</v>
      </c>
      <c r="G11" s="203" t="s">
        <v>71</v>
      </c>
      <c r="H11" s="209">
        <f>COUNTIFS(D:D,"=Crucial",F:F,"=Exception")</f>
        <v>0</v>
      </c>
      <c r="I11" s="199">
        <f t="shared" si="1"/>
        <v>3</v>
      </c>
      <c r="J11" s="200">
        <f t="shared" si="2"/>
        <v>0</v>
      </c>
      <c r="K11" s="210">
        <f t="shared" si="3"/>
        <v>0</v>
      </c>
      <c r="L11" s="38"/>
    </row>
    <row r="12" spans="2:13" ht="49.5" customHeight="1" x14ac:dyDescent="0.25">
      <c r="B12" s="97" t="str">
        <f t="shared" si="0"/>
        <v>MAVL</v>
      </c>
      <c r="C12" s="98">
        <f>IF(ISTEXT(D12),MAX($C$6:$C11)+1,"")</f>
        <v>9</v>
      </c>
      <c r="D12" s="99" t="s">
        <v>11</v>
      </c>
      <c r="E12" s="108" t="s">
        <v>388</v>
      </c>
      <c r="F12" s="196" t="s">
        <v>43</v>
      </c>
      <c r="G12" s="197" t="s">
        <v>72</v>
      </c>
      <c r="H12" s="209">
        <f>COUNTIFS(D:D,"=Important",F:F,"=Select From Drop Down")</f>
        <v>4</v>
      </c>
      <c r="I12" s="199">
        <f t="shared" si="1"/>
        <v>1</v>
      </c>
      <c r="J12" s="200">
        <f t="shared" si="2"/>
        <v>0</v>
      </c>
      <c r="K12" s="210">
        <f t="shared" si="3"/>
        <v>0</v>
      </c>
      <c r="L12" s="36"/>
    </row>
    <row r="13" spans="2:13" ht="34.9" customHeight="1" x14ac:dyDescent="0.25">
      <c r="B13" s="97" t="str">
        <f t="shared" si="0"/>
        <v>MAVL</v>
      </c>
      <c r="C13" s="98">
        <f>IF(ISTEXT(D13),MAX($C$6:$C12)+1,"")</f>
        <v>10</v>
      </c>
      <c r="D13" s="99" t="s">
        <v>9</v>
      </c>
      <c r="E13" s="108" t="s">
        <v>191</v>
      </c>
      <c r="F13" s="202" t="s">
        <v>43</v>
      </c>
      <c r="G13" s="197" t="s">
        <v>74</v>
      </c>
      <c r="H13" s="209">
        <f>COUNTIFS(D:D,"=Important",F:F,"=Function Available")</f>
        <v>0</v>
      </c>
      <c r="I13" s="199">
        <f t="shared" ref="I13:I20" si="4">VLOOKUP($D13,SpecData,2,FALSE)</f>
        <v>3</v>
      </c>
      <c r="J13" s="200">
        <f t="shared" ref="J13:J20" si="5">VLOOKUP($F13,AvailabilityData,2,FALSE)</f>
        <v>0</v>
      </c>
      <c r="K13" s="210">
        <f t="shared" ref="K13:K19" si="6">I13*J13</f>
        <v>0</v>
      </c>
      <c r="L13" s="36"/>
    </row>
    <row r="14" spans="2:13" ht="30" customHeight="1" x14ac:dyDescent="0.25">
      <c r="B14" s="97" t="str">
        <f t="shared" si="0"/>
        <v>MAVL</v>
      </c>
      <c r="C14" s="98">
        <f>IF(ISTEXT(D14),MAX($C$6:$C13)+1,"")</f>
        <v>11</v>
      </c>
      <c r="D14" s="99" t="s">
        <v>9</v>
      </c>
      <c r="E14" s="108" t="s">
        <v>389</v>
      </c>
      <c r="F14" s="196" t="s">
        <v>43</v>
      </c>
      <c r="G14" s="220" t="s">
        <v>76</v>
      </c>
      <c r="H14" s="221">
        <f>COUNTIFS(D:D,"=Important",F:F,"=Function Not Available")</f>
        <v>0</v>
      </c>
      <c r="I14" s="211">
        <f t="shared" si="4"/>
        <v>3</v>
      </c>
      <c r="J14" s="212">
        <f t="shared" si="5"/>
        <v>0</v>
      </c>
      <c r="K14" s="213">
        <f t="shared" si="6"/>
        <v>0</v>
      </c>
      <c r="L14" s="36"/>
    </row>
    <row r="15" spans="2:13" s="93" customFormat="1" ht="15.75" x14ac:dyDescent="0.25">
      <c r="B15" s="94" t="s">
        <v>192</v>
      </c>
      <c r="C15" s="95"/>
      <c r="D15" s="95"/>
      <c r="E15" s="95"/>
      <c r="F15" s="132"/>
      <c r="G15" s="133"/>
      <c r="H15" s="133"/>
      <c r="I15" s="133"/>
      <c r="J15" s="133"/>
      <c r="K15" s="133"/>
      <c r="L15" s="113"/>
      <c r="M15"/>
    </row>
    <row r="16" spans="2:13" ht="30" customHeight="1" x14ac:dyDescent="0.25">
      <c r="B16" s="97" t="str">
        <f t="shared" si="0"/>
        <v>MAVL</v>
      </c>
      <c r="C16" s="98">
        <f>IF(ISTEXT(D16),MAX($C$6:$C14)+1,"")</f>
        <v>12</v>
      </c>
      <c r="D16" s="99" t="s">
        <v>10</v>
      </c>
      <c r="E16" s="134" t="s">
        <v>193</v>
      </c>
      <c r="F16" s="196" t="s">
        <v>43</v>
      </c>
      <c r="G16" s="218" t="s">
        <v>77</v>
      </c>
      <c r="H16" s="209">
        <f>COUNTIFS(D:D,"=Important",F:F,"=Exception")</f>
        <v>0</v>
      </c>
      <c r="I16" s="199">
        <f t="shared" si="4"/>
        <v>2</v>
      </c>
      <c r="J16" s="200">
        <f t="shared" si="5"/>
        <v>0</v>
      </c>
      <c r="K16" s="210">
        <f t="shared" si="6"/>
        <v>0</v>
      </c>
      <c r="L16" s="39"/>
    </row>
    <row r="17" spans="2:12" ht="42.75" x14ac:dyDescent="0.25">
      <c r="B17" s="97" t="str">
        <f t="shared" si="0"/>
        <v>MAVL</v>
      </c>
      <c r="C17" s="98">
        <f>IF(ISTEXT(D17),MAX($C$6:$C16)+1,"")</f>
        <v>13</v>
      </c>
      <c r="D17" s="99" t="s">
        <v>11</v>
      </c>
      <c r="E17" s="134" t="s">
        <v>194</v>
      </c>
      <c r="F17" s="202" t="s">
        <v>43</v>
      </c>
      <c r="G17" s="197" t="s">
        <v>79</v>
      </c>
      <c r="H17" s="209">
        <f>COUNTIFS(D:D,"=Minimal",F:F,"=Select From Drop Down")</f>
        <v>4</v>
      </c>
      <c r="I17" s="199">
        <f t="shared" si="4"/>
        <v>1</v>
      </c>
      <c r="J17" s="200">
        <f t="shared" si="5"/>
        <v>0</v>
      </c>
      <c r="K17" s="210">
        <f t="shared" si="6"/>
        <v>0</v>
      </c>
      <c r="L17" s="36"/>
    </row>
    <row r="18" spans="2:12" ht="30" customHeight="1" x14ac:dyDescent="0.25">
      <c r="B18" s="97" t="str">
        <f t="shared" si="0"/>
        <v>MAVL</v>
      </c>
      <c r="C18" s="98">
        <f>IF(ISTEXT(D18),MAX($C$6:$C17)+1,"")</f>
        <v>14</v>
      </c>
      <c r="D18" s="99" t="s">
        <v>11</v>
      </c>
      <c r="E18" s="134" t="s">
        <v>195</v>
      </c>
      <c r="F18" s="196" t="s">
        <v>43</v>
      </c>
      <c r="G18" s="197" t="s">
        <v>82</v>
      </c>
      <c r="H18" s="209">
        <f>COUNTIFS(D:D,"=Minimal",F:F,"=Function Available")</f>
        <v>0</v>
      </c>
      <c r="I18" s="199">
        <f t="shared" si="4"/>
        <v>1</v>
      </c>
      <c r="J18" s="200">
        <f t="shared" si="5"/>
        <v>0</v>
      </c>
      <c r="K18" s="210">
        <f t="shared" si="6"/>
        <v>0</v>
      </c>
      <c r="L18" s="36"/>
    </row>
    <row r="19" spans="2:12" ht="30" customHeight="1" x14ac:dyDescent="0.25">
      <c r="B19" s="97" t="str">
        <f t="shared" si="0"/>
        <v>MAVL</v>
      </c>
      <c r="C19" s="98">
        <f>IF(ISTEXT(D19),MAX($C$6:$C18)+1,"")</f>
        <v>15</v>
      </c>
      <c r="D19" s="99" t="s">
        <v>11</v>
      </c>
      <c r="E19" s="134" t="s">
        <v>196</v>
      </c>
      <c r="F19" s="202" t="s">
        <v>43</v>
      </c>
      <c r="G19" s="222" t="s">
        <v>84</v>
      </c>
      <c r="H19" s="223">
        <f>COUNTIFS(D:D,"=Minimal",F:F,"=Function Not Available")</f>
        <v>0</v>
      </c>
      <c r="I19" s="224">
        <f t="shared" si="4"/>
        <v>1</v>
      </c>
      <c r="J19" s="225">
        <f t="shared" si="5"/>
        <v>0</v>
      </c>
      <c r="K19" s="226">
        <f t="shared" si="6"/>
        <v>0</v>
      </c>
      <c r="L19" s="36"/>
    </row>
    <row r="20" spans="2:12" ht="30" customHeight="1" x14ac:dyDescent="0.25">
      <c r="B20" s="97" t="str">
        <f t="shared" ref="B20" si="7">IF(C20="","",$B$4)</f>
        <v>MAVL</v>
      </c>
      <c r="C20" s="98">
        <f>IF(ISTEXT(D20),MAX($C$6:$C19)+1,"")</f>
        <v>16</v>
      </c>
      <c r="D20" s="99" t="s">
        <v>10</v>
      </c>
      <c r="E20" s="134" t="s">
        <v>196</v>
      </c>
      <c r="F20" s="196" t="s">
        <v>43</v>
      </c>
      <c r="G20" s="197" t="s">
        <v>86</v>
      </c>
      <c r="H20" s="209">
        <f>COUNTIFS(D:D,"=Minimal",F:F,"=Exception")</f>
        <v>0</v>
      </c>
      <c r="I20" s="199">
        <f t="shared" si="4"/>
        <v>2</v>
      </c>
      <c r="J20" s="200">
        <f t="shared" si="5"/>
        <v>0</v>
      </c>
      <c r="K20" s="210">
        <f t="shared" ref="K20" si="8">I20*J20</f>
        <v>0</v>
      </c>
      <c r="L20" s="36"/>
    </row>
    <row r="21" spans="2:12" ht="8.25" customHeight="1" x14ac:dyDescent="0.25"/>
  </sheetData>
  <sheetProtection algorithmName="SHA-512" hashValue="PUTqR1dVMTrKBxzS5/dePVlt215q3vBnGp1+Lw/RFaMkAP6kmnXKQbysCZujfstDNTvyJ/cq5fBr3plPYCB5Ag==" saltValue="M0prxX+8V6AR1fUrooXlEA==" spinCount="100000" sheet="1" selectLockedCells="1"/>
  <conditionalFormatting sqref="D4:D14">
    <cfRule type="cellIs" dxfId="59" priority="13" operator="equal">
      <formula>"Important"</formula>
    </cfRule>
    <cfRule type="cellIs" dxfId="58" priority="14" operator="equal">
      <formula>"Crucial"</formula>
    </cfRule>
    <cfRule type="cellIs" dxfId="57" priority="15" operator="equal">
      <formula>"N/A"</formula>
    </cfRule>
  </conditionalFormatting>
  <conditionalFormatting sqref="D16:D20">
    <cfRule type="cellIs" dxfId="56" priority="1" operator="equal">
      <formula>"Important"</formula>
    </cfRule>
    <cfRule type="cellIs" dxfId="55" priority="2" operator="equal">
      <formula>"Crucial"</formula>
    </cfRule>
    <cfRule type="cellIs" dxfId="54" priority="3" operator="equal">
      <formula>"N/A"</formula>
    </cfRule>
  </conditionalFormatting>
  <conditionalFormatting sqref="F4:F20">
    <cfRule type="cellIs" dxfId="53" priority="7" operator="equal">
      <formula>"Function Not Available"</formula>
    </cfRule>
    <cfRule type="cellIs" dxfId="52" priority="8" operator="equal">
      <formula>"Function Available"</formula>
    </cfRule>
    <cfRule type="cellIs" dxfId="51" priority="9" operator="equal">
      <formula>"Exception"</formula>
    </cfRule>
  </conditionalFormatting>
  <dataValidations count="3">
    <dataValidation type="list" allowBlank="1" showInputMessage="1" showErrorMessage="1" sqref="F4:F5" xr:uid="{00000000-0002-0000-0300-000000000000}">
      <formula1>AvailabilityType</formula1>
    </dataValidation>
    <dataValidation type="list" allowBlank="1" showInputMessage="1" showErrorMessage="1" sqref="D16:D20 D4:D14" xr:uid="{00000000-0002-0000-0300-000001000000}">
      <formula1>SpecType</formula1>
    </dataValidation>
    <dataValidation type="list" allowBlank="1" showInputMessage="1" showErrorMessage="1" errorTitle="Invalid specification type" error="Please enter a Specification type from the drop-down list." sqref="F6:F14 F16:F20" xr:uid="{00000000-0002-0000-0300-000003000000}">
      <formula1>AvailabilityType</formula1>
    </dataValidation>
  </dataValidations>
  <pageMargins left="0.7" right="0.7" top="0.75" bottom="0.75" header="0.3" footer="0.3"/>
  <pageSetup scale="45" fitToHeight="0" orientation="portrait" r:id="rId1"/>
  <headerFooter>
    <oddHeader>&amp;CGCCDA
&amp;F&amp;R&amp;A</oddHeader>
    <oddFooter>&amp;LTSSI Consulting LLC, March 2026&amp;CPage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M58"/>
  <sheetViews>
    <sheetView showGridLines="0" zoomScale="80" zoomScaleNormal="80" zoomScalePageLayoutView="40" workbookViewId="0">
      <selection activeCell="F4" sqref="F4"/>
    </sheetView>
  </sheetViews>
  <sheetFormatPr defaultColWidth="0" defaultRowHeight="15" zeroHeight="1" x14ac:dyDescent="0.25"/>
  <cols>
    <col min="1" max="1" width="0.85546875" customWidth="1"/>
    <col min="2" max="2" width="11.7109375" customWidth="1"/>
    <col min="3" max="3" width="17.28515625" customWidth="1"/>
    <col min="4" max="4" width="23.85546875" customWidth="1"/>
    <col min="5" max="5" width="65.7109375" customWidth="1"/>
    <col min="6" max="6" width="29.42578125" customWidth="1"/>
    <col min="7" max="7" width="15.42578125" style="77" hidden="1" customWidth="1"/>
    <col min="8" max="11" width="12.7109375" hidden="1" customWidth="1"/>
    <col min="12" max="12" width="55.42578125" customWidth="1"/>
    <col min="13" max="13" width="3" customWidth="1"/>
    <col min="14" max="16384" width="9.140625" hidden="1"/>
  </cols>
  <sheetData>
    <row r="1" spans="2:12" ht="3.6" customHeight="1" x14ac:dyDescent="0.25"/>
    <row r="2" spans="2:12" s="78" customFormat="1" ht="129" customHeight="1" thickBot="1" x14ac:dyDescent="0.25">
      <c r="B2" s="135" t="s">
        <v>44</v>
      </c>
      <c r="C2" s="136" t="s">
        <v>45</v>
      </c>
      <c r="D2" s="136" t="s">
        <v>46</v>
      </c>
      <c r="E2" s="136" t="s">
        <v>197</v>
      </c>
      <c r="F2" s="136" t="s">
        <v>42</v>
      </c>
      <c r="G2" s="137" t="s">
        <v>48</v>
      </c>
      <c r="H2" s="137" t="s">
        <v>49</v>
      </c>
      <c r="I2" s="138" t="s">
        <v>50</v>
      </c>
      <c r="J2" s="138" t="s">
        <v>51</v>
      </c>
      <c r="K2" s="139" t="s">
        <v>14</v>
      </c>
      <c r="L2" s="140" t="s">
        <v>52</v>
      </c>
    </row>
    <row r="3" spans="2:12" ht="16.5" thickBot="1" x14ac:dyDescent="0.3">
      <c r="B3" s="129" t="s">
        <v>198</v>
      </c>
      <c r="C3" s="129"/>
      <c r="D3" s="129"/>
      <c r="E3" s="129"/>
      <c r="F3" s="129"/>
      <c r="G3" s="141" t="s">
        <v>54</v>
      </c>
      <c r="H3" s="142">
        <f>COUNTA(D4:D466)</f>
        <v>47</v>
      </c>
      <c r="I3" s="143"/>
      <c r="J3" s="144" t="s">
        <v>55</v>
      </c>
      <c r="K3" s="145">
        <f>SUM(K4:K466)</f>
        <v>0</v>
      </c>
      <c r="L3" s="146"/>
    </row>
    <row r="4" spans="2:12" ht="30" customHeight="1" x14ac:dyDescent="0.25">
      <c r="B4" s="147" t="s">
        <v>199</v>
      </c>
      <c r="C4" s="148">
        <v>1</v>
      </c>
      <c r="D4" s="149" t="s">
        <v>9</v>
      </c>
      <c r="E4" s="150" t="s">
        <v>200</v>
      </c>
      <c r="F4" s="196" t="s">
        <v>43</v>
      </c>
      <c r="G4" s="227" t="s">
        <v>59</v>
      </c>
      <c r="H4" s="228">
        <f>COUNTIF(F4:F466,"Select from Drop Down")</f>
        <v>47</v>
      </c>
      <c r="I4" s="229">
        <f>VLOOKUP($D4,SpecData,2,FALSE)</f>
        <v>3</v>
      </c>
      <c r="J4" s="230">
        <f>VLOOKUP($F4,AvailabilityData,2,FALSE)</f>
        <v>0</v>
      </c>
      <c r="K4" s="231">
        <f>I4*J4</f>
        <v>0</v>
      </c>
      <c r="L4" s="62"/>
    </row>
    <row r="5" spans="2:12" ht="30" customHeight="1" x14ac:dyDescent="0.25">
      <c r="B5" s="147" t="str">
        <f>IF(C5="","",$B$4)</f>
        <v>MFldR</v>
      </c>
      <c r="C5" s="148">
        <v>2</v>
      </c>
      <c r="D5" s="149" t="s">
        <v>9</v>
      </c>
      <c r="E5" s="69" t="s">
        <v>201</v>
      </c>
      <c r="F5" s="202" t="s">
        <v>43</v>
      </c>
      <c r="G5" s="227" t="s">
        <v>61</v>
      </c>
      <c r="H5" s="228">
        <f>COUNTIF(F4:F466,"Function Available")</f>
        <v>0</v>
      </c>
      <c r="I5" s="229">
        <f>VLOOKUP($D5,SpecData,2,FALSE)</f>
        <v>3</v>
      </c>
      <c r="J5" s="230">
        <f>VLOOKUP($F5,AvailabilityData,2,FALSE)</f>
        <v>0</v>
      </c>
      <c r="K5" s="231">
        <f>I5*J5</f>
        <v>0</v>
      </c>
      <c r="L5" s="62"/>
    </row>
    <row r="6" spans="2:12" ht="30" customHeight="1" x14ac:dyDescent="0.25">
      <c r="B6" s="147" t="str">
        <f t="shared" ref="B6:B51" si="0">IF(C6="","",$B$4)</f>
        <v>MFldR</v>
      </c>
      <c r="C6" s="148">
        <v>3</v>
      </c>
      <c r="D6" s="149" t="s">
        <v>10</v>
      </c>
      <c r="E6" s="69" t="s">
        <v>202</v>
      </c>
      <c r="F6" s="196" t="s">
        <v>43</v>
      </c>
      <c r="G6" s="227" t="s">
        <v>63</v>
      </c>
      <c r="H6" s="232">
        <f>COUNTIF(F4:F466,"Function Not Available")</f>
        <v>0</v>
      </c>
      <c r="I6" s="229">
        <f t="shared" ref="I6:I13" si="1">VLOOKUP($D6,SpecData,2,FALSE)</f>
        <v>2</v>
      </c>
      <c r="J6" s="230">
        <f t="shared" ref="J6:J13" si="2">VLOOKUP($F6,AvailabilityData,2,FALSE)</f>
        <v>0</v>
      </c>
      <c r="K6" s="233">
        <f t="shared" ref="K6:K13" si="3">I6*J6</f>
        <v>0</v>
      </c>
      <c r="L6" s="62"/>
    </row>
    <row r="7" spans="2:12" ht="30" customHeight="1" x14ac:dyDescent="0.25">
      <c r="B7" s="147" t="str">
        <f t="shared" si="0"/>
        <v>MFldR</v>
      </c>
      <c r="C7" s="148">
        <f>IF(ISTEXT(D7),MAX($C$6:$C6)+1,"")</f>
        <v>4</v>
      </c>
      <c r="D7" s="149" t="s">
        <v>9</v>
      </c>
      <c r="E7" s="70" t="s">
        <v>203</v>
      </c>
      <c r="F7" s="202" t="s">
        <v>43</v>
      </c>
      <c r="G7" s="227" t="s">
        <v>65</v>
      </c>
      <c r="H7" s="232">
        <f>COUNTIF(F4:F466,"Exception")</f>
        <v>0</v>
      </c>
      <c r="I7" s="229">
        <f t="shared" si="1"/>
        <v>3</v>
      </c>
      <c r="J7" s="230">
        <f t="shared" si="2"/>
        <v>0</v>
      </c>
      <c r="K7" s="231">
        <f t="shared" si="3"/>
        <v>0</v>
      </c>
      <c r="L7" s="62"/>
    </row>
    <row r="8" spans="2:12" ht="30" customHeight="1" x14ac:dyDescent="0.25">
      <c r="B8" s="147" t="str">
        <f t="shared" si="0"/>
        <v>MFldR</v>
      </c>
      <c r="C8" s="148">
        <f>IF(ISTEXT(D8),MAX($C$6:$C7)+1,"")</f>
        <v>5</v>
      </c>
      <c r="D8" s="149" t="s">
        <v>41</v>
      </c>
      <c r="E8" s="70" t="s">
        <v>204</v>
      </c>
      <c r="F8" s="101" t="s">
        <v>43</v>
      </c>
      <c r="G8" s="68" t="s">
        <v>66</v>
      </c>
      <c r="H8" s="157">
        <f>COUNTIFS(D:D,"=Crucial",F:F,"=Select From Drop Down")</f>
        <v>23</v>
      </c>
      <c r="I8" s="151">
        <f t="shared" si="1"/>
        <v>0</v>
      </c>
      <c r="J8" s="152">
        <f t="shared" si="2"/>
        <v>0</v>
      </c>
      <c r="K8" s="156">
        <f t="shared" si="3"/>
        <v>0</v>
      </c>
      <c r="L8" s="154"/>
    </row>
    <row r="9" spans="2:12" ht="42.75" x14ac:dyDescent="0.25">
      <c r="B9" s="147" t="str">
        <f t="shared" si="0"/>
        <v>MFldR</v>
      </c>
      <c r="C9" s="148">
        <v>6</v>
      </c>
      <c r="D9" s="149" t="s">
        <v>9</v>
      </c>
      <c r="E9" s="70" t="s">
        <v>205</v>
      </c>
      <c r="F9" s="202" t="s">
        <v>43</v>
      </c>
      <c r="G9" s="227" t="s">
        <v>67</v>
      </c>
      <c r="H9" s="234">
        <f>COUNTIFS(D:D,"=Crucial",F:F,"=Function Available")</f>
        <v>0</v>
      </c>
      <c r="I9" s="229">
        <f t="shared" si="1"/>
        <v>3</v>
      </c>
      <c r="J9" s="230">
        <f t="shared" si="2"/>
        <v>0</v>
      </c>
      <c r="K9" s="233">
        <f t="shared" si="3"/>
        <v>0</v>
      </c>
      <c r="L9" s="62"/>
    </row>
    <row r="10" spans="2:12" ht="30" customHeight="1" x14ac:dyDescent="0.25">
      <c r="B10" s="147" t="str">
        <f t="shared" si="0"/>
        <v>MFldR</v>
      </c>
      <c r="C10" s="148">
        <v>7</v>
      </c>
      <c r="D10" s="149" t="s">
        <v>9</v>
      </c>
      <c r="E10" s="71" t="s">
        <v>206</v>
      </c>
      <c r="F10" s="196" t="s">
        <v>43</v>
      </c>
      <c r="G10" s="227" t="s">
        <v>69</v>
      </c>
      <c r="H10" s="234">
        <f>COUNTIFS(D:D,"=Crucial",F:F,"=Function Not Available")</f>
        <v>0</v>
      </c>
      <c r="I10" s="229">
        <f t="shared" si="1"/>
        <v>3</v>
      </c>
      <c r="J10" s="230">
        <f t="shared" si="2"/>
        <v>0</v>
      </c>
      <c r="K10" s="233">
        <f t="shared" si="3"/>
        <v>0</v>
      </c>
      <c r="L10" s="62"/>
    </row>
    <row r="11" spans="2:12" ht="30" customHeight="1" x14ac:dyDescent="0.25">
      <c r="B11" s="147" t="str">
        <f t="shared" si="0"/>
        <v>MFldR</v>
      </c>
      <c r="C11" s="148">
        <f>IF(ISTEXT(D11),MAX($C$9:$C10)+1,"")</f>
        <v>8</v>
      </c>
      <c r="D11" s="149" t="s">
        <v>10</v>
      </c>
      <c r="E11" s="158" t="s">
        <v>390</v>
      </c>
      <c r="F11" s="202" t="s">
        <v>43</v>
      </c>
      <c r="G11" s="235" t="s">
        <v>71</v>
      </c>
      <c r="H11" s="236">
        <f>COUNTIFS(D:D,"=Crucial",F:F,"=Exception")</f>
        <v>0</v>
      </c>
      <c r="I11" s="237">
        <f t="shared" si="1"/>
        <v>2</v>
      </c>
      <c r="J11" s="229">
        <f t="shared" si="2"/>
        <v>0</v>
      </c>
      <c r="K11" s="238">
        <f t="shared" si="3"/>
        <v>0</v>
      </c>
      <c r="L11" s="63"/>
    </row>
    <row r="12" spans="2:12" ht="42.75" x14ac:dyDescent="0.25">
      <c r="B12" s="160" t="str">
        <f t="shared" ref="B12" si="4">IF(C12="","",$B$4)</f>
        <v/>
      </c>
      <c r="C12" s="121" t="str">
        <f>IF(ISTEXT(D12),MAX($C$9:$C11)+1,"")</f>
        <v/>
      </c>
      <c r="D12" s="121"/>
      <c r="E12" s="72" t="s">
        <v>207</v>
      </c>
      <c r="F12" s="132"/>
      <c r="G12" s="123"/>
      <c r="H12" s="123"/>
      <c r="I12" s="123"/>
      <c r="J12" s="123"/>
      <c r="K12" s="123"/>
      <c r="L12" s="123"/>
    </row>
    <row r="13" spans="2:12" ht="30" customHeight="1" x14ac:dyDescent="0.25">
      <c r="B13" s="147" t="str">
        <f t="shared" si="0"/>
        <v>MFldR</v>
      </c>
      <c r="C13" s="148">
        <f>IF(ISTEXT(D13),MAX($C$9:$C11)+1,"")</f>
        <v>9</v>
      </c>
      <c r="D13" s="149" t="s">
        <v>11</v>
      </c>
      <c r="E13" s="161" t="s">
        <v>208</v>
      </c>
      <c r="F13" s="202" t="s">
        <v>43</v>
      </c>
      <c r="G13" s="227" t="s">
        <v>72</v>
      </c>
      <c r="H13" s="234">
        <f>COUNTIFS(D:D,"=Important",F:F,"=Select From Drop Down")</f>
        <v>6</v>
      </c>
      <c r="I13" s="237">
        <f t="shared" si="1"/>
        <v>1</v>
      </c>
      <c r="J13" s="229">
        <f t="shared" si="2"/>
        <v>0</v>
      </c>
      <c r="K13" s="233">
        <f t="shared" si="3"/>
        <v>0</v>
      </c>
      <c r="L13" s="64"/>
    </row>
    <row r="14" spans="2:12" ht="30" customHeight="1" x14ac:dyDescent="0.25">
      <c r="B14" s="147" t="str">
        <f t="shared" si="0"/>
        <v>MFldR</v>
      </c>
      <c r="C14" s="148">
        <f>IF(ISTEXT(D14),MAX($C$9:$C13)+1,"")</f>
        <v>10</v>
      </c>
      <c r="D14" s="149" t="s">
        <v>9</v>
      </c>
      <c r="E14" s="73" t="s">
        <v>209</v>
      </c>
      <c r="F14" s="196" t="s">
        <v>43</v>
      </c>
      <c r="G14" s="239" t="s">
        <v>74</v>
      </c>
      <c r="H14" s="240">
        <f>COUNTIFS(D:D,"=Important",F:F,"=Function Available")</f>
        <v>0</v>
      </c>
      <c r="I14" s="241">
        <f>VLOOKUP($D14,SpecData,2,FALSE)</f>
        <v>3</v>
      </c>
      <c r="J14" s="242">
        <f>VLOOKUP($F14,AvailabilityData,2,FALSE)</f>
        <v>0</v>
      </c>
      <c r="K14" s="243">
        <f>I14*J14</f>
        <v>0</v>
      </c>
      <c r="L14" s="62"/>
    </row>
    <row r="15" spans="2:12" ht="30" customHeight="1" x14ac:dyDescent="0.25">
      <c r="B15" s="147" t="str">
        <f t="shared" si="0"/>
        <v>MFldR</v>
      </c>
      <c r="C15" s="148">
        <f>IF(ISTEXT(D15),MAX($C$9:$C14)+1,"")</f>
        <v>11</v>
      </c>
      <c r="D15" s="149" t="s">
        <v>9</v>
      </c>
      <c r="E15" s="73" t="s">
        <v>210</v>
      </c>
      <c r="F15" s="202" t="s">
        <v>43</v>
      </c>
      <c r="G15" s="244" t="s">
        <v>76</v>
      </c>
      <c r="H15" s="245">
        <f>COUNTIFS(D:D,"=Important",F:F,"=Function Not Available")</f>
        <v>0</v>
      </c>
      <c r="I15" s="246">
        <f>VLOOKUP($D15,SpecData,2,FALSE)</f>
        <v>3</v>
      </c>
      <c r="J15" s="247">
        <f>VLOOKUP($F15,AvailabilityData,2,FALSE)</f>
        <v>0</v>
      </c>
      <c r="K15" s="248">
        <f>I15*J15</f>
        <v>0</v>
      </c>
      <c r="L15" s="62"/>
    </row>
    <row r="16" spans="2:12" ht="30" customHeight="1" x14ac:dyDescent="0.25">
      <c r="B16" s="147" t="str">
        <f t="shared" si="0"/>
        <v>MFldR</v>
      </c>
      <c r="C16" s="148">
        <f>IF(ISTEXT(D16),MAX($C$9:$C15)+1,"")</f>
        <v>12</v>
      </c>
      <c r="D16" s="149" t="s">
        <v>9</v>
      </c>
      <c r="E16" s="73" t="s">
        <v>211</v>
      </c>
      <c r="F16" s="196" t="s">
        <v>43</v>
      </c>
      <c r="G16" s="227" t="s">
        <v>77</v>
      </c>
      <c r="H16" s="234">
        <f>COUNTIFS(D:D,"=Important",F:F,"=Exception")</f>
        <v>0</v>
      </c>
      <c r="I16" s="229">
        <f t="shared" ref="I16:I51" si="5">VLOOKUP($D16,SpecData,2,FALSE)</f>
        <v>3</v>
      </c>
      <c r="J16" s="230">
        <f t="shared" ref="J16:J51" si="6">VLOOKUP($F16,AvailabilityData,2,FALSE)</f>
        <v>0</v>
      </c>
      <c r="K16" s="231">
        <f t="shared" ref="K16:K51" si="7">I16*J16</f>
        <v>0</v>
      </c>
      <c r="L16" s="65"/>
    </row>
    <row r="17" spans="2:12" ht="30" customHeight="1" x14ac:dyDescent="0.25">
      <c r="B17" s="147" t="str">
        <f t="shared" si="0"/>
        <v>MFldR</v>
      </c>
      <c r="C17" s="148">
        <f>IF(ISTEXT(D17),MAX($C$9:$C16)+1,"")</f>
        <v>13</v>
      </c>
      <c r="D17" s="149" t="s">
        <v>9</v>
      </c>
      <c r="E17" s="73" t="s">
        <v>212</v>
      </c>
      <c r="F17" s="202" t="s">
        <v>43</v>
      </c>
      <c r="G17" s="227" t="s">
        <v>79</v>
      </c>
      <c r="H17" s="234">
        <f>COUNTIFS(D:D,"=Minimal",F:F,"=Select From Drop Down")</f>
        <v>5</v>
      </c>
      <c r="I17" s="249">
        <f t="shared" si="5"/>
        <v>3</v>
      </c>
      <c r="J17" s="237">
        <f t="shared" si="6"/>
        <v>0</v>
      </c>
      <c r="K17" s="233">
        <f t="shared" si="7"/>
        <v>0</v>
      </c>
      <c r="L17" s="65"/>
    </row>
    <row r="18" spans="2:12" ht="30" customHeight="1" x14ac:dyDescent="0.25">
      <c r="B18" s="147" t="str">
        <f t="shared" si="0"/>
        <v>MFldR</v>
      </c>
      <c r="C18" s="148">
        <f>IF(ISTEXT(D18),MAX($C$9:$C17)+1,"")</f>
        <v>14</v>
      </c>
      <c r="D18" s="149" t="s">
        <v>9</v>
      </c>
      <c r="E18" s="73" t="s">
        <v>213</v>
      </c>
      <c r="F18" s="196" t="s">
        <v>43</v>
      </c>
      <c r="G18" s="227" t="s">
        <v>82</v>
      </c>
      <c r="H18" s="234">
        <f>COUNTIFS(D:D,"=Minimal",F:F,"=Function Available")</f>
        <v>0</v>
      </c>
      <c r="I18" s="249">
        <f t="shared" si="5"/>
        <v>3</v>
      </c>
      <c r="J18" s="237">
        <f t="shared" si="6"/>
        <v>0</v>
      </c>
      <c r="K18" s="233">
        <f t="shared" si="7"/>
        <v>0</v>
      </c>
      <c r="L18" s="62"/>
    </row>
    <row r="19" spans="2:12" ht="30" customHeight="1" x14ac:dyDescent="0.25">
      <c r="B19" s="147" t="str">
        <f t="shared" si="0"/>
        <v>MFldR</v>
      </c>
      <c r="C19" s="148">
        <f>IF(ISTEXT(D19),MAX($C$9:$C18)+1,"")</f>
        <v>15</v>
      </c>
      <c r="D19" s="149" t="s">
        <v>9</v>
      </c>
      <c r="E19" s="73" t="s">
        <v>214</v>
      </c>
      <c r="F19" s="202" t="s">
        <v>43</v>
      </c>
      <c r="G19" s="227" t="s">
        <v>84</v>
      </c>
      <c r="H19" s="234">
        <f>COUNTIFS(D:D,"=Minimal",F:F,"=Function Not Available")</f>
        <v>0</v>
      </c>
      <c r="I19" s="249">
        <f t="shared" si="5"/>
        <v>3</v>
      </c>
      <c r="J19" s="237">
        <f t="shared" si="6"/>
        <v>0</v>
      </c>
      <c r="K19" s="233">
        <f t="shared" si="7"/>
        <v>0</v>
      </c>
      <c r="L19" s="65"/>
    </row>
    <row r="20" spans="2:12" ht="30" customHeight="1" x14ac:dyDescent="0.25">
      <c r="B20" s="147" t="str">
        <f t="shared" si="0"/>
        <v>MFldR</v>
      </c>
      <c r="C20" s="148">
        <f>IF(ISTEXT(D20),MAX($C$9:$C19)+1,"")</f>
        <v>16</v>
      </c>
      <c r="D20" s="149" t="s">
        <v>9</v>
      </c>
      <c r="E20" s="73" t="s">
        <v>215</v>
      </c>
      <c r="F20" s="196" t="s">
        <v>43</v>
      </c>
      <c r="G20" s="227" t="s">
        <v>86</v>
      </c>
      <c r="H20" s="234">
        <f>COUNTIFS(D:D,"=Minimal",F:F,"=Exception")</f>
        <v>0</v>
      </c>
      <c r="I20" s="249">
        <f t="shared" si="5"/>
        <v>3</v>
      </c>
      <c r="J20" s="237">
        <f t="shared" si="6"/>
        <v>0</v>
      </c>
      <c r="K20" s="233">
        <f t="shared" si="7"/>
        <v>0</v>
      </c>
      <c r="L20" s="62"/>
    </row>
    <row r="21" spans="2:12" ht="30" customHeight="1" x14ac:dyDescent="0.25">
      <c r="B21" s="147" t="str">
        <f t="shared" si="0"/>
        <v>MFldR</v>
      </c>
      <c r="C21" s="148">
        <f>IF(ISTEXT(D21),MAX($C$9:$C20)+1,"")</f>
        <v>17</v>
      </c>
      <c r="D21" s="149" t="s">
        <v>10</v>
      </c>
      <c r="E21" s="73" t="s">
        <v>216</v>
      </c>
      <c r="F21" s="202" t="s">
        <v>43</v>
      </c>
      <c r="G21" s="227"/>
      <c r="H21" s="232"/>
      <c r="I21" s="249">
        <f t="shared" si="5"/>
        <v>2</v>
      </c>
      <c r="J21" s="237">
        <f t="shared" si="6"/>
        <v>0</v>
      </c>
      <c r="K21" s="233">
        <f t="shared" si="7"/>
        <v>0</v>
      </c>
      <c r="L21" s="65"/>
    </row>
    <row r="22" spans="2:12" ht="30" customHeight="1" x14ac:dyDescent="0.25">
      <c r="B22" s="147" t="str">
        <f t="shared" si="0"/>
        <v>MFldR</v>
      </c>
      <c r="C22" s="148">
        <f>IF(ISTEXT(D22),MAX($C$9:$C21)+1,"")</f>
        <v>18</v>
      </c>
      <c r="D22" s="149" t="s">
        <v>10</v>
      </c>
      <c r="E22" s="73" t="s">
        <v>217</v>
      </c>
      <c r="F22" s="196" t="s">
        <v>43</v>
      </c>
      <c r="G22" s="227"/>
      <c r="H22" s="232"/>
      <c r="I22" s="249">
        <f t="shared" si="5"/>
        <v>2</v>
      </c>
      <c r="J22" s="237">
        <f t="shared" si="6"/>
        <v>0</v>
      </c>
      <c r="K22" s="233">
        <f t="shared" si="7"/>
        <v>0</v>
      </c>
      <c r="L22" s="65"/>
    </row>
    <row r="23" spans="2:12" ht="30" customHeight="1" x14ac:dyDescent="0.25">
      <c r="B23" s="147" t="str">
        <f t="shared" si="0"/>
        <v>MFldR</v>
      </c>
      <c r="C23" s="148">
        <f>IF(ISTEXT(D23),MAX($C$9:$C22)+1,"")</f>
        <v>19</v>
      </c>
      <c r="D23" s="149" t="s">
        <v>9</v>
      </c>
      <c r="E23" s="73" t="s">
        <v>218</v>
      </c>
      <c r="F23" s="202" t="s">
        <v>43</v>
      </c>
      <c r="G23" s="227"/>
      <c r="H23" s="232"/>
      <c r="I23" s="249">
        <f t="shared" si="5"/>
        <v>3</v>
      </c>
      <c r="J23" s="237">
        <f t="shared" si="6"/>
        <v>0</v>
      </c>
      <c r="K23" s="233">
        <f t="shared" si="7"/>
        <v>0</v>
      </c>
      <c r="L23" s="62"/>
    </row>
    <row r="24" spans="2:12" ht="30" customHeight="1" x14ac:dyDescent="0.25">
      <c r="B24" s="147" t="str">
        <f t="shared" si="0"/>
        <v>MFldR</v>
      </c>
      <c r="C24" s="148">
        <f>IF(ISTEXT(D24),MAX($C$9:$C23)+1,"")</f>
        <v>20</v>
      </c>
      <c r="D24" s="149" t="s">
        <v>9</v>
      </c>
      <c r="E24" s="73" t="s">
        <v>219</v>
      </c>
      <c r="F24" s="196" t="s">
        <v>43</v>
      </c>
      <c r="G24" s="227"/>
      <c r="H24" s="232"/>
      <c r="I24" s="249">
        <f t="shared" si="5"/>
        <v>3</v>
      </c>
      <c r="J24" s="237">
        <f t="shared" si="6"/>
        <v>0</v>
      </c>
      <c r="K24" s="233">
        <f t="shared" si="7"/>
        <v>0</v>
      </c>
      <c r="L24" s="65"/>
    </row>
    <row r="25" spans="2:12" ht="30" customHeight="1" x14ac:dyDescent="0.25">
      <c r="B25" s="147" t="str">
        <f t="shared" si="0"/>
        <v>MFldR</v>
      </c>
      <c r="C25" s="148">
        <f>IF(ISTEXT(D25),MAX($C$9:$C24)+1,"")</f>
        <v>21</v>
      </c>
      <c r="D25" s="149" t="s">
        <v>9</v>
      </c>
      <c r="E25" s="73" t="s">
        <v>220</v>
      </c>
      <c r="F25" s="202" t="s">
        <v>43</v>
      </c>
      <c r="G25" s="227"/>
      <c r="H25" s="232"/>
      <c r="I25" s="249">
        <f t="shared" si="5"/>
        <v>3</v>
      </c>
      <c r="J25" s="237">
        <f t="shared" si="6"/>
        <v>0</v>
      </c>
      <c r="K25" s="233">
        <f t="shared" si="7"/>
        <v>0</v>
      </c>
      <c r="L25" s="62"/>
    </row>
    <row r="26" spans="2:12" ht="30" customHeight="1" x14ac:dyDescent="0.25">
      <c r="B26" s="147" t="str">
        <f t="shared" si="0"/>
        <v>MFldR</v>
      </c>
      <c r="C26" s="148">
        <f>IF(ISTEXT(D26),MAX($C$9:$C25)+1,"")</f>
        <v>22</v>
      </c>
      <c r="D26" s="149" t="s">
        <v>9</v>
      </c>
      <c r="E26" s="73" t="s">
        <v>221</v>
      </c>
      <c r="F26" s="196" t="s">
        <v>43</v>
      </c>
      <c r="G26" s="227"/>
      <c r="H26" s="232"/>
      <c r="I26" s="249">
        <f t="shared" si="5"/>
        <v>3</v>
      </c>
      <c r="J26" s="237">
        <f t="shared" si="6"/>
        <v>0</v>
      </c>
      <c r="K26" s="233">
        <f t="shared" si="7"/>
        <v>0</v>
      </c>
      <c r="L26" s="65"/>
    </row>
    <row r="27" spans="2:12" ht="30" customHeight="1" x14ac:dyDescent="0.25">
      <c r="B27" s="147" t="str">
        <f t="shared" si="0"/>
        <v>MFldR</v>
      </c>
      <c r="C27" s="148">
        <f>IF(ISTEXT(D27),MAX($C$9:$C26)+1,"")</f>
        <v>23</v>
      </c>
      <c r="D27" s="149" t="s">
        <v>9</v>
      </c>
      <c r="E27" s="73" t="s">
        <v>222</v>
      </c>
      <c r="F27" s="202" t="s">
        <v>43</v>
      </c>
      <c r="G27" s="227"/>
      <c r="H27" s="232"/>
      <c r="I27" s="249">
        <f t="shared" si="5"/>
        <v>3</v>
      </c>
      <c r="J27" s="237">
        <f t="shared" si="6"/>
        <v>0</v>
      </c>
      <c r="K27" s="233">
        <f t="shared" si="7"/>
        <v>0</v>
      </c>
      <c r="L27" s="65"/>
    </row>
    <row r="28" spans="2:12" ht="30" customHeight="1" x14ac:dyDescent="0.25">
      <c r="B28" s="147" t="str">
        <f t="shared" si="0"/>
        <v>MFldR</v>
      </c>
      <c r="C28" s="148">
        <f>IF(ISTEXT(D28),MAX($C$9:$C27)+1,"")</f>
        <v>24</v>
      </c>
      <c r="D28" s="149" t="s">
        <v>9</v>
      </c>
      <c r="E28" s="73" t="s">
        <v>223</v>
      </c>
      <c r="F28" s="196" t="s">
        <v>43</v>
      </c>
      <c r="G28" s="227"/>
      <c r="H28" s="232"/>
      <c r="I28" s="249">
        <f t="shared" si="5"/>
        <v>3</v>
      </c>
      <c r="J28" s="237">
        <f t="shared" si="6"/>
        <v>0</v>
      </c>
      <c r="K28" s="233">
        <f t="shared" si="7"/>
        <v>0</v>
      </c>
      <c r="L28" s="62"/>
    </row>
    <row r="29" spans="2:12" ht="30" customHeight="1" x14ac:dyDescent="0.25">
      <c r="B29" s="147" t="str">
        <f t="shared" si="0"/>
        <v>MFldR</v>
      </c>
      <c r="C29" s="148">
        <f>IF(ISTEXT(D29),MAX($C$9:$C28)+1,"")</f>
        <v>25</v>
      </c>
      <c r="D29" s="149" t="s">
        <v>9</v>
      </c>
      <c r="E29" s="73" t="s">
        <v>224</v>
      </c>
      <c r="F29" s="202" t="s">
        <v>43</v>
      </c>
      <c r="G29" s="227"/>
      <c r="H29" s="232"/>
      <c r="I29" s="249">
        <f t="shared" si="5"/>
        <v>3</v>
      </c>
      <c r="J29" s="237">
        <f t="shared" si="6"/>
        <v>0</v>
      </c>
      <c r="K29" s="233">
        <f t="shared" si="7"/>
        <v>0</v>
      </c>
      <c r="L29" s="65"/>
    </row>
    <row r="30" spans="2:12" ht="30" customHeight="1" x14ac:dyDescent="0.25">
      <c r="B30" s="147" t="str">
        <f t="shared" si="0"/>
        <v>MFldR</v>
      </c>
      <c r="C30" s="148">
        <f>IF(ISTEXT(D30),MAX($C$9:$C29)+1,"")</f>
        <v>26</v>
      </c>
      <c r="D30" s="149" t="s">
        <v>9</v>
      </c>
      <c r="E30" s="164" t="s">
        <v>225</v>
      </c>
      <c r="F30" s="196" t="s">
        <v>43</v>
      </c>
      <c r="G30" s="227"/>
      <c r="H30" s="232"/>
      <c r="I30" s="249">
        <f t="shared" si="5"/>
        <v>3</v>
      </c>
      <c r="J30" s="237">
        <f t="shared" si="6"/>
        <v>0</v>
      </c>
      <c r="K30" s="233">
        <f t="shared" si="7"/>
        <v>0</v>
      </c>
      <c r="L30" s="62"/>
    </row>
    <row r="31" spans="2:12" ht="30" customHeight="1" x14ac:dyDescent="0.25">
      <c r="B31" s="147" t="str">
        <f t="shared" si="0"/>
        <v>MFldR</v>
      </c>
      <c r="C31" s="148">
        <f>IF(ISTEXT(D31),MAX($C$9:$C30)+1,"")</f>
        <v>27</v>
      </c>
      <c r="D31" s="149" t="s">
        <v>9</v>
      </c>
      <c r="E31" s="164" t="s">
        <v>226</v>
      </c>
      <c r="F31" s="202" t="s">
        <v>43</v>
      </c>
      <c r="G31" s="227"/>
      <c r="H31" s="232"/>
      <c r="I31" s="249">
        <f t="shared" si="5"/>
        <v>3</v>
      </c>
      <c r="J31" s="237">
        <f t="shared" si="6"/>
        <v>0</v>
      </c>
      <c r="K31" s="233">
        <f t="shared" si="7"/>
        <v>0</v>
      </c>
      <c r="L31" s="65"/>
    </row>
    <row r="32" spans="2:12" ht="30" customHeight="1" x14ac:dyDescent="0.25">
      <c r="B32" s="147" t="str">
        <f t="shared" si="0"/>
        <v>MFldR</v>
      </c>
      <c r="C32" s="148">
        <f>IF(ISTEXT(D32),MAX($C$9:$C31)+1,"")</f>
        <v>28</v>
      </c>
      <c r="D32" s="149" t="s">
        <v>9</v>
      </c>
      <c r="E32" s="164" t="s">
        <v>227</v>
      </c>
      <c r="F32" s="196" t="s">
        <v>43</v>
      </c>
      <c r="G32" s="227"/>
      <c r="H32" s="232"/>
      <c r="I32" s="249">
        <f t="shared" si="5"/>
        <v>3</v>
      </c>
      <c r="J32" s="237">
        <f t="shared" si="6"/>
        <v>0</v>
      </c>
      <c r="K32" s="233">
        <f t="shared" si="7"/>
        <v>0</v>
      </c>
      <c r="L32" s="65"/>
    </row>
    <row r="33" spans="2:12" ht="30" customHeight="1" x14ac:dyDescent="0.25">
      <c r="B33" s="147" t="str">
        <f t="shared" si="0"/>
        <v>MFldR</v>
      </c>
      <c r="C33" s="148">
        <f>IF(ISTEXT(D33),MAX($C$9:$C32)+1,"")</f>
        <v>29</v>
      </c>
      <c r="D33" s="149" t="s">
        <v>10</v>
      </c>
      <c r="E33" s="71" t="s">
        <v>228</v>
      </c>
      <c r="F33" s="202" t="s">
        <v>43</v>
      </c>
      <c r="G33" s="227"/>
      <c r="H33" s="232"/>
      <c r="I33" s="249">
        <f t="shared" si="5"/>
        <v>2</v>
      </c>
      <c r="J33" s="237">
        <f t="shared" si="6"/>
        <v>0</v>
      </c>
      <c r="K33" s="233">
        <f t="shared" si="7"/>
        <v>0</v>
      </c>
      <c r="L33" s="62"/>
    </row>
    <row r="34" spans="2:12" ht="30" customHeight="1" x14ac:dyDescent="0.25">
      <c r="B34" s="147" t="str">
        <f t="shared" si="0"/>
        <v>MFldR</v>
      </c>
      <c r="C34" s="148">
        <f>IF(ISTEXT(D34),MAX($C$9:$C33)+1,"")</f>
        <v>30</v>
      </c>
      <c r="D34" s="149" t="s">
        <v>41</v>
      </c>
      <c r="E34" s="70" t="s">
        <v>229</v>
      </c>
      <c r="F34" s="101" t="s">
        <v>43</v>
      </c>
      <c r="G34" s="141"/>
      <c r="H34" s="165"/>
      <c r="I34" s="151">
        <f t="shared" si="5"/>
        <v>0</v>
      </c>
      <c r="J34" s="152">
        <f t="shared" si="6"/>
        <v>0</v>
      </c>
      <c r="K34" s="153">
        <f t="shared" si="7"/>
        <v>0</v>
      </c>
      <c r="L34" s="162"/>
    </row>
    <row r="35" spans="2:12" ht="30" customHeight="1" x14ac:dyDescent="0.25">
      <c r="B35" s="147" t="str">
        <f t="shared" si="0"/>
        <v>MFldR</v>
      </c>
      <c r="C35" s="148">
        <f>IF(ISTEXT(D35),MAX($C$9:$C34)+1,"")</f>
        <v>31</v>
      </c>
      <c r="D35" s="149" t="s">
        <v>9</v>
      </c>
      <c r="E35" s="166" t="s">
        <v>230</v>
      </c>
      <c r="F35" s="202" t="s">
        <v>43</v>
      </c>
      <c r="G35" s="227"/>
      <c r="H35" s="232"/>
      <c r="I35" s="249">
        <f t="shared" si="5"/>
        <v>3</v>
      </c>
      <c r="J35" s="237">
        <f t="shared" si="6"/>
        <v>0</v>
      </c>
      <c r="K35" s="233">
        <f t="shared" si="7"/>
        <v>0</v>
      </c>
      <c r="L35" s="62"/>
    </row>
    <row r="36" spans="2:12" ht="30" customHeight="1" x14ac:dyDescent="0.25">
      <c r="B36" s="147" t="str">
        <f t="shared" si="0"/>
        <v>MFldR</v>
      </c>
      <c r="C36" s="148">
        <f>IF(ISTEXT(D36),MAX($C$9:$C35)+1,"")</f>
        <v>32</v>
      </c>
      <c r="D36" s="149" t="s">
        <v>11</v>
      </c>
      <c r="E36" s="71" t="s">
        <v>231</v>
      </c>
      <c r="F36" s="196" t="s">
        <v>43</v>
      </c>
      <c r="G36" s="227"/>
      <c r="H36" s="232"/>
      <c r="I36" s="249">
        <f t="shared" si="5"/>
        <v>1</v>
      </c>
      <c r="J36" s="237">
        <f t="shared" si="6"/>
        <v>0</v>
      </c>
      <c r="K36" s="233">
        <f t="shared" si="7"/>
        <v>0</v>
      </c>
      <c r="L36" s="65"/>
    </row>
    <row r="37" spans="2:12" ht="30" customHeight="1" x14ac:dyDescent="0.25">
      <c r="B37" s="147" t="str">
        <f t="shared" si="0"/>
        <v>MFldR</v>
      </c>
      <c r="C37" s="148">
        <f>IF(ISTEXT(D37),MAX($C$9:$C36)+1,"")</f>
        <v>33</v>
      </c>
      <c r="D37" s="149" t="s">
        <v>11</v>
      </c>
      <c r="E37" s="71" t="s">
        <v>232</v>
      </c>
      <c r="F37" s="202" t="s">
        <v>43</v>
      </c>
      <c r="G37" s="227"/>
      <c r="H37" s="232"/>
      <c r="I37" s="249">
        <f t="shared" si="5"/>
        <v>1</v>
      </c>
      <c r="J37" s="237">
        <f t="shared" si="6"/>
        <v>0</v>
      </c>
      <c r="K37" s="233">
        <f t="shared" si="7"/>
        <v>0</v>
      </c>
      <c r="L37" s="65"/>
    </row>
    <row r="38" spans="2:12" ht="30" customHeight="1" x14ac:dyDescent="0.25">
      <c r="B38" s="147" t="str">
        <f t="shared" si="0"/>
        <v>MFldR</v>
      </c>
      <c r="C38" s="148">
        <f>IF(ISTEXT(D38),MAX($C$9:$C37)+1,"")</f>
        <v>34</v>
      </c>
      <c r="D38" s="149" t="s">
        <v>10</v>
      </c>
      <c r="E38" s="70" t="s">
        <v>233</v>
      </c>
      <c r="F38" s="196" t="s">
        <v>43</v>
      </c>
      <c r="G38" s="227"/>
      <c r="H38" s="232"/>
      <c r="I38" s="249">
        <f t="shared" si="5"/>
        <v>2</v>
      </c>
      <c r="J38" s="237">
        <f t="shared" si="6"/>
        <v>0</v>
      </c>
      <c r="K38" s="233">
        <f t="shared" si="7"/>
        <v>0</v>
      </c>
      <c r="L38" s="62"/>
    </row>
    <row r="39" spans="2:12" ht="30" customHeight="1" x14ac:dyDescent="0.25">
      <c r="B39" s="147" t="str">
        <f t="shared" si="0"/>
        <v>MFldR</v>
      </c>
      <c r="C39" s="148">
        <f>IF(ISTEXT(D39),MAX($C$9:$C38)+1,"")</f>
        <v>35</v>
      </c>
      <c r="D39" s="149" t="s">
        <v>41</v>
      </c>
      <c r="E39" s="71" t="s">
        <v>234</v>
      </c>
      <c r="F39" s="109" t="s">
        <v>43</v>
      </c>
      <c r="G39" s="68"/>
      <c r="H39" s="155"/>
      <c r="I39" s="163">
        <f t="shared" si="5"/>
        <v>0</v>
      </c>
      <c r="J39" s="159">
        <f t="shared" si="6"/>
        <v>0</v>
      </c>
      <c r="K39" s="156">
        <f t="shared" si="7"/>
        <v>0</v>
      </c>
      <c r="L39" s="162"/>
    </row>
    <row r="40" spans="2:12" ht="30" customHeight="1" x14ac:dyDescent="0.25">
      <c r="B40" s="147" t="str">
        <f t="shared" si="0"/>
        <v>MFldR</v>
      </c>
      <c r="C40" s="148">
        <f>IF(ISTEXT(D40),MAX($C$9:$C39)+1,"")</f>
        <v>36</v>
      </c>
      <c r="D40" s="149" t="s">
        <v>41</v>
      </c>
      <c r="E40" s="71" t="s">
        <v>235</v>
      </c>
      <c r="F40" s="101" t="s">
        <v>43</v>
      </c>
      <c r="G40" s="68"/>
      <c r="H40" s="155"/>
      <c r="I40" s="163">
        <f t="shared" si="5"/>
        <v>0</v>
      </c>
      <c r="J40" s="159">
        <f t="shared" si="6"/>
        <v>0</v>
      </c>
      <c r="K40" s="156">
        <f t="shared" si="7"/>
        <v>0</v>
      </c>
      <c r="L40" s="167"/>
    </row>
    <row r="41" spans="2:12" ht="30" customHeight="1" x14ac:dyDescent="0.25">
      <c r="B41" s="147" t="str">
        <f t="shared" si="0"/>
        <v>MFldR</v>
      </c>
      <c r="C41" s="148">
        <f>IF(ISTEXT(D41),MAX($C$9:$C40)+1,"")</f>
        <v>37</v>
      </c>
      <c r="D41" s="149" t="s">
        <v>11</v>
      </c>
      <c r="E41" s="71" t="s">
        <v>236</v>
      </c>
      <c r="F41" s="202" t="s">
        <v>43</v>
      </c>
      <c r="G41" s="227"/>
      <c r="H41" s="232"/>
      <c r="I41" s="249">
        <f t="shared" si="5"/>
        <v>1</v>
      </c>
      <c r="J41" s="237">
        <f t="shared" si="6"/>
        <v>0</v>
      </c>
      <c r="K41" s="233">
        <f t="shared" si="7"/>
        <v>0</v>
      </c>
      <c r="L41" s="65"/>
    </row>
    <row r="42" spans="2:12" ht="42.75" x14ac:dyDescent="0.25">
      <c r="B42" s="147" t="str">
        <f t="shared" si="0"/>
        <v>MFldR</v>
      </c>
      <c r="C42" s="148">
        <f>IF(ISTEXT(D42),MAX($C$9:$C41)+1,"")</f>
        <v>38</v>
      </c>
      <c r="D42" s="149" t="s">
        <v>41</v>
      </c>
      <c r="E42" s="71" t="s">
        <v>237</v>
      </c>
      <c r="F42" s="101" t="s">
        <v>43</v>
      </c>
      <c r="G42" s="68"/>
      <c r="H42" s="155"/>
      <c r="I42" s="163">
        <f t="shared" si="5"/>
        <v>0</v>
      </c>
      <c r="J42" s="159">
        <f t="shared" si="6"/>
        <v>0</v>
      </c>
      <c r="K42" s="156">
        <f t="shared" si="7"/>
        <v>0</v>
      </c>
      <c r="L42" s="154"/>
    </row>
    <row r="43" spans="2:12" ht="30" customHeight="1" x14ac:dyDescent="0.25">
      <c r="B43" s="147" t="str">
        <f t="shared" si="0"/>
        <v>MFldR</v>
      </c>
      <c r="C43" s="148">
        <f>IF(ISTEXT(D43),MAX($C$9:$C42)+1,"")</f>
        <v>39</v>
      </c>
      <c r="D43" s="149" t="s">
        <v>41</v>
      </c>
      <c r="E43" s="71" t="s">
        <v>238</v>
      </c>
      <c r="F43" s="109" t="s">
        <v>43</v>
      </c>
      <c r="G43" s="68"/>
      <c r="H43" s="155"/>
      <c r="I43" s="163">
        <f t="shared" si="5"/>
        <v>0</v>
      </c>
      <c r="J43" s="159">
        <f t="shared" si="6"/>
        <v>0</v>
      </c>
      <c r="K43" s="156">
        <f t="shared" si="7"/>
        <v>0</v>
      </c>
      <c r="L43" s="162"/>
    </row>
    <row r="44" spans="2:12" ht="30" customHeight="1" x14ac:dyDescent="0.25">
      <c r="B44" s="147" t="str">
        <f t="shared" si="0"/>
        <v>MFldR</v>
      </c>
      <c r="C44" s="148">
        <f>IF(ISTEXT(D44),MAX($C$9:$C43)+1,"")</f>
        <v>40</v>
      </c>
      <c r="D44" s="149" t="s">
        <v>41</v>
      </c>
      <c r="E44" s="71" t="s">
        <v>239</v>
      </c>
      <c r="F44" s="101" t="s">
        <v>43</v>
      </c>
      <c r="G44" s="68"/>
      <c r="H44" s="155"/>
      <c r="I44" s="163">
        <f t="shared" si="5"/>
        <v>0</v>
      </c>
      <c r="J44" s="159">
        <f t="shared" si="6"/>
        <v>0</v>
      </c>
      <c r="K44" s="156">
        <f t="shared" si="7"/>
        <v>0</v>
      </c>
      <c r="L44" s="154"/>
    </row>
    <row r="45" spans="2:12" ht="30" customHeight="1" x14ac:dyDescent="0.25">
      <c r="B45" s="147" t="str">
        <f t="shared" si="0"/>
        <v>MFldR</v>
      </c>
      <c r="C45" s="148">
        <f>IF(ISTEXT(D45),MAX($C$9:$C44)+1,"")</f>
        <v>41</v>
      </c>
      <c r="D45" s="149" t="s">
        <v>41</v>
      </c>
      <c r="E45" s="168" t="s">
        <v>391</v>
      </c>
      <c r="F45" s="109" t="s">
        <v>43</v>
      </c>
      <c r="G45" s="68"/>
      <c r="H45" s="155"/>
      <c r="I45" s="163">
        <f t="shared" si="5"/>
        <v>0</v>
      </c>
      <c r="J45" s="159">
        <f t="shared" si="6"/>
        <v>0</v>
      </c>
      <c r="K45" s="156">
        <f t="shared" si="7"/>
        <v>0</v>
      </c>
      <c r="L45" s="162"/>
    </row>
    <row r="46" spans="2:12" ht="30" customHeight="1" x14ac:dyDescent="0.25">
      <c r="B46" s="147" t="str">
        <f t="shared" si="0"/>
        <v>MFldR</v>
      </c>
      <c r="C46" s="148">
        <f>IF(ISTEXT(D46),MAX($C$9:$C45)+1,"")</f>
        <v>42</v>
      </c>
      <c r="D46" s="149" t="s">
        <v>41</v>
      </c>
      <c r="E46" s="168" t="s">
        <v>240</v>
      </c>
      <c r="F46" s="101" t="s">
        <v>43</v>
      </c>
      <c r="G46" s="68"/>
      <c r="H46" s="155"/>
      <c r="I46" s="163">
        <f t="shared" si="5"/>
        <v>0</v>
      </c>
      <c r="J46" s="159">
        <f t="shared" si="6"/>
        <v>0</v>
      </c>
      <c r="K46" s="156">
        <f t="shared" si="7"/>
        <v>0</v>
      </c>
      <c r="L46" s="154"/>
    </row>
    <row r="47" spans="2:12" ht="30" customHeight="1" x14ac:dyDescent="0.25">
      <c r="B47" s="147" t="str">
        <f t="shared" si="0"/>
        <v>MFldR</v>
      </c>
      <c r="C47" s="148">
        <f>IF(ISTEXT(D47),MAX($C$9:$C46)+1,"")</f>
        <v>43</v>
      </c>
      <c r="D47" s="149" t="s">
        <v>41</v>
      </c>
      <c r="E47" s="168" t="s">
        <v>392</v>
      </c>
      <c r="F47" s="109" t="s">
        <v>43</v>
      </c>
      <c r="G47" s="141"/>
      <c r="H47" s="165"/>
      <c r="I47" s="151">
        <f t="shared" si="5"/>
        <v>0</v>
      </c>
      <c r="J47" s="152">
        <f t="shared" si="6"/>
        <v>0</v>
      </c>
      <c r="K47" s="153">
        <f t="shared" si="7"/>
        <v>0</v>
      </c>
      <c r="L47" s="162"/>
    </row>
    <row r="48" spans="2:12" ht="30" customHeight="1" x14ac:dyDescent="0.25">
      <c r="B48" s="147" t="str">
        <f t="shared" si="0"/>
        <v>MFldR</v>
      </c>
      <c r="C48" s="148">
        <f>IF(ISTEXT(D48),MAX($C$9:$C47)+1,"")</f>
        <v>44</v>
      </c>
      <c r="D48" s="149" t="s">
        <v>41</v>
      </c>
      <c r="E48" s="70" t="s">
        <v>241</v>
      </c>
      <c r="F48" s="101" t="s">
        <v>43</v>
      </c>
      <c r="G48" s="68"/>
      <c r="H48" s="155"/>
      <c r="I48" s="163">
        <f t="shared" si="5"/>
        <v>0</v>
      </c>
      <c r="J48" s="159">
        <f t="shared" si="6"/>
        <v>0</v>
      </c>
      <c r="K48" s="156">
        <f t="shared" si="7"/>
        <v>0</v>
      </c>
      <c r="L48" s="154"/>
    </row>
    <row r="49" spans="2:12" ht="30" customHeight="1" x14ac:dyDescent="0.25">
      <c r="B49" s="147" t="str">
        <f t="shared" si="0"/>
        <v>MFldR</v>
      </c>
      <c r="C49" s="148">
        <f>IF(ISTEXT(D49),MAX($C$9:$C48)+1,"")</f>
        <v>45</v>
      </c>
      <c r="D49" s="149" t="s">
        <v>41</v>
      </c>
      <c r="E49" s="70" t="s">
        <v>242</v>
      </c>
      <c r="F49" s="109" t="s">
        <v>43</v>
      </c>
      <c r="G49" s="68"/>
      <c r="H49" s="155"/>
      <c r="I49" s="163">
        <f t="shared" si="5"/>
        <v>0</v>
      </c>
      <c r="J49" s="159">
        <f t="shared" si="6"/>
        <v>0</v>
      </c>
      <c r="K49" s="156">
        <f t="shared" si="7"/>
        <v>0</v>
      </c>
      <c r="L49" s="162"/>
    </row>
    <row r="50" spans="2:12" ht="30" customHeight="1" x14ac:dyDescent="0.25">
      <c r="B50" s="147" t="str">
        <f t="shared" si="0"/>
        <v>MFldR</v>
      </c>
      <c r="C50" s="148">
        <f>IF(ISTEXT(D50),MAX($C$9:$C49)+1,"")</f>
        <v>46</v>
      </c>
      <c r="D50" s="149" t="s">
        <v>41</v>
      </c>
      <c r="E50" s="70" t="s">
        <v>393</v>
      </c>
      <c r="F50" s="101" t="s">
        <v>43</v>
      </c>
      <c r="G50" s="68"/>
      <c r="H50" s="155"/>
      <c r="I50" s="163">
        <f t="shared" si="5"/>
        <v>0</v>
      </c>
      <c r="J50" s="159">
        <f t="shared" si="6"/>
        <v>0</v>
      </c>
      <c r="K50" s="156">
        <f t="shared" si="7"/>
        <v>0</v>
      </c>
      <c r="L50" s="154"/>
    </row>
    <row r="51" spans="2:12" ht="30" customHeight="1" x14ac:dyDescent="0.25">
      <c r="B51" s="169" t="str">
        <f t="shared" si="0"/>
        <v>MFldR</v>
      </c>
      <c r="C51" s="170">
        <f>IF(ISTEXT(D51),MAX($C$9:$C50)+1,"")</f>
        <v>47</v>
      </c>
      <c r="D51" s="149" t="s">
        <v>11</v>
      </c>
      <c r="E51" s="166" t="s">
        <v>243</v>
      </c>
      <c r="F51" s="196" t="s">
        <v>43</v>
      </c>
      <c r="G51" s="235"/>
      <c r="H51" s="250"/>
      <c r="I51" s="251">
        <f t="shared" si="5"/>
        <v>1</v>
      </c>
      <c r="J51" s="252">
        <f t="shared" si="6"/>
        <v>0</v>
      </c>
      <c r="K51" s="238">
        <f t="shared" si="7"/>
        <v>0</v>
      </c>
      <c r="L51" s="64"/>
    </row>
    <row r="52" spans="2:12" ht="6.75" customHeight="1" x14ac:dyDescent="0.25"/>
    <row r="53" spans="2:12" ht="7.5" hidden="1" customHeight="1" x14ac:dyDescent="0.25"/>
    <row r="54" spans="2:12" ht="7.5" hidden="1" customHeight="1" x14ac:dyDescent="0.25"/>
    <row r="55" spans="2:12" ht="7.5" hidden="1" customHeight="1" x14ac:dyDescent="0.25"/>
    <row r="56" spans="2:12" ht="7.5" hidden="1" customHeight="1" x14ac:dyDescent="0.25"/>
    <row r="57" spans="2:12" ht="7.5" hidden="1" customHeight="1" x14ac:dyDescent="0.25"/>
    <row r="58" spans="2:12" ht="7.5" hidden="1" customHeight="1" x14ac:dyDescent="0.25"/>
  </sheetData>
  <sheetProtection algorithmName="SHA-512" hashValue="O5HcFN6dbV73KWfxiSxJ927Ga0fftcJ2IzmZJifUbvX6sDgfNUPo6dZMNcHDMsD35Yn6hhHqmwT41Sxb5B8Xzg==" saltValue="w/1m7JX6G6pGS5fx7TQA0g==" spinCount="100000" sheet="1" selectLockedCells="1"/>
  <conditionalFormatting sqref="D4:D11">
    <cfRule type="cellIs" dxfId="50" priority="19" operator="equal">
      <formula>"Important"</formula>
    </cfRule>
    <cfRule type="cellIs" dxfId="49" priority="20" operator="equal">
      <formula>"Crucial"</formula>
    </cfRule>
    <cfRule type="cellIs" dxfId="48" priority="21" operator="equal">
      <formula>"N/A"</formula>
    </cfRule>
  </conditionalFormatting>
  <conditionalFormatting sqref="D13:D51">
    <cfRule type="cellIs" dxfId="47" priority="1" operator="equal">
      <formula>"Important"</formula>
    </cfRule>
    <cfRule type="cellIs" dxfId="46" priority="2" operator="equal">
      <formula>"Crucial"</formula>
    </cfRule>
    <cfRule type="cellIs" dxfId="45" priority="3" operator="equal">
      <formula>"N/A"</formula>
    </cfRule>
  </conditionalFormatting>
  <conditionalFormatting sqref="F4:F51">
    <cfRule type="cellIs" dxfId="44" priority="28" operator="equal">
      <formula>"Function Not Available"</formula>
    </cfRule>
    <cfRule type="cellIs" dxfId="43" priority="29" operator="equal">
      <formula>"Function Available"</formula>
    </cfRule>
    <cfRule type="cellIs" dxfId="42" priority="30" operator="equal">
      <formula>"Exception"</formula>
    </cfRule>
  </conditionalFormatting>
  <dataValidations count="3">
    <dataValidation type="list" allowBlank="1" showInputMessage="1" showErrorMessage="1" errorTitle="Invalid specification type" error="Please enter a Specification type from the drop-down list." sqref="F6:F11 F13:F51" xr:uid="{00000000-0002-0000-0400-000000000000}">
      <formula1>AvailabilityType</formula1>
    </dataValidation>
    <dataValidation type="list" allowBlank="1" showInputMessage="1" showErrorMessage="1" sqref="D4:D11 D13:D51" xr:uid="{EF4B93D6-D726-4B65-BB37-9DB142F26CF3}">
      <formula1>SpecType</formula1>
    </dataValidation>
    <dataValidation type="list" allowBlank="1" showInputMessage="1" showErrorMessage="1" sqref="F4:F5" xr:uid="{00000000-0002-0000-0400-000003000000}">
      <formula1>AvailabilityType</formula1>
    </dataValidation>
  </dataValidations>
  <pageMargins left="0.7" right="0.7" top="0.75" bottom="0.75" header="0.3" footer="0.3"/>
  <pageSetup scale="44" fitToHeight="0" orientation="portrait" r:id="rId1"/>
  <headerFooter>
    <oddHeader>&amp;CGCCDA
&amp;F&amp;R&amp;A</oddHeader>
    <oddFooter>&amp;LTSSI Consulting LLC, March 2026&amp;CPage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M96"/>
  <sheetViews>
    <sheetView showGridLines="0" topLeftCell="B1" zoomScale="80" zoomScaleNormal="80" zoomScalePageLayoutView="40" workbookViewId="0">
      <selection activeCell="F4" sqref="F4"/>
    </sheetView>
  </sheetViews>
  <sheetFormatPr defaultColWidth="0" defaultRowHeight="15" zeroHeight="1" x14ac:dyDescent="0.25"/>
  <cols>
    <col min="1" max="1" width="0.7109375" customWidth="1"/>
    <col min="2" max="2" width="11.7109375" customWidth="1"/>
    <col min="3" max="3" width="17.28515625" customWidth="1"/>
    <col min="4" max="4" width="23.85546875" customWidth="1"/>
    <col min="5" max="5" width="65.7109375" customWidth="1"/>
    <col min="6" max="6" width="29.42578125" customWidth="1"/>
    <col min="7" max="7" width="15.42578125" style="77" hidden="1" customWidth="1"/>
    <col min="8" max="11" width="12.7109375" hidden="1" customWidth="1"/>
    <col min="12" max="12" width="55.42578125" customWidth="1"/>
    <col min="13" max="13" width="3" customWidth="1"/>
    <col min="14" max="16384" width="9.140625" hidden="1"/>
  </cols>
  <sheetData>
    <row r="1" spans="2:12" ht="3" customHeight="1" x14ac:dyDescent="0.25"/>
    <row r="2" spans="2:12" s="78" customFormat="1" ht="129" customHeight="1" thickBot="1" x14ac:dyDescent="0.25">
      <c r="B2" s="135" t="s">
        <v>44</v>
      </c>
      <c r="C2" s="136" t="s">
        <v>45</v>
      </c>
      <c r="D2" s="136" t="s">
        <v>46</v>
      </c>
      <c r="E2" s="136" t="s">
        <v>244</v>
      </c>
      <c r="F2" s="136" t="s">
        <v>42</v>
      </c>
      <c r="G2" s="137" t="s">
        <v>48</v>
      </c>
      <c r="H2" s="137" t="s">
        <v>49</v>
      </c>
      <c r="I2" s="138" t="s">
        <v>50</v>
      </c>
      <c r="J2" s="138" t="s">
        <v>51</v>
      </c>
      <c r="K2" s="139" t="s">
        <v>14</v>
      </c>
      <c r="L2" s="140" t="s">
        <v>52</v>
      </c>
    </row>
    <row r="3" spans="2:12" ht="16.5" thickBot="1" x14ac:dyDescent="0.3">
      <c r="B3" s="129" t="s">
        <v>245</v>
      </c>
      <c r="C3" s="129"/>
      <c r="D3" s="129"/>
      <c r="E3" s="129"/>
      <c r="F3" s="129"/>
      <c r="G3" s="141" t="s">
        <v>54</v>
      </c>
      <c r="H3" s="142">
        <f>COUNTA(D4:D503)</f>
        <v>82</v>
      </c>
      <c r="I3" s="143"/>
      <c r="J3" s="144" t="s">
        <v>55</v>
      </c>
      <c r="K3" s="145">
        <f>SUM(K4:K503)</f>
        <v>0</v>
      </c>
      <c r="L3" s="129"/>
    </row>
    <row r="4" spans="2:12" ht="42.75" x14ac:dyDescent="0.25">
      <c r="B4" s="147" t="s">
        <v>246</v>
      </c>
      <c r="C4" s="148">
        <v>1</v>
      </c>
      <c r="D4" s="149" t="s">
        <v>11</v>
      </c>
      <c r="E4" s="171" t="s">
        <v>524</v>
      </c>
      <c r="F4" s="196" t="s">
        <v>43</v>
      </c>
      <c r="G4" s="227" t="s">
        <v>59</v>
      </c>
      <c r="H4" s="228">
        <f>COUNTIF(F4:F503,"Select from Drop Down")</f>
        <v>82</v>
      </c>
      <c r="I4" s="229">
        <f>VLOOKUP($D4,SpecData,2,FALSE)</f>
        <v>1</v>
      </c>
      <c r="J4" s="230">
        <f>VLOOKUP($F4,AvailabilityData,2,FALSE)</f>
        <v>0</v>
      </c>
      <c r="K4" s="231">
        <f>I4*J4</f>
        <v>0</v>
      </c>
      <c r="L4" s="62"/>
    </row>
    <row r="5" spans="2:12" ht="30" customHeight="1" x14ac:dyDescent="0.25">
      <c r="B5" s="147" t="str">
        <f>IF(C5="","",$B$4)</f>
        <v>MMap</v>
      </c>
      <c r="C5" s="148">
        <v>2</v>
      </c>
      <c r="D5" s="149" t="s">
        <v>9</v>
      </c>
      <c r="E5" s="172" t="s">
        <v>247</v>
      </c>
      <c r="F5" s="202" t="s">
        <v>43</v>
      </c>
      <c r="G5" s="227" t="s">
        <v>61</v>
      </c>
      <c r="H5" s="228">
        <f>COUNTIF(F4:F503,"Function Available")</f>
        <v>0</v>
      </c>
      <c r="I5" s="229">
        <f>VLOOKUP($D5,SpecData,2,FALSE)</f>
        <v>3</v>
      </c>
      <c r="J5" s="230">
        <f>VLOOKUP($F5,AvailabilityData,2,FALSE)</f>
        <v>0</v>
      </c>
      <c r="K5" s="231">
        <f>I5*J5</f>
        <v>0</v>
      </c>
      <c r="L5" s="62"/>
    </row>
    <row r="6" spans="2:12" ht="30" customHeight="1" x14ac:dyDescent="0.25">
      <c r="B6" s="147" t="str">
        <f t="shared" ref="B6:B34" si="0">IF(C6="","",$B$4)</f>
        <v>MMap</v>
      </c>
      <c r="C6" s="148">
        <v>3</v>
      </c>
      <c r="D6" s="149" t="s">
        <v>9</v>
      </c>
      <c r="E6" s="172" t="s">
        <v>507</v>
      </c>
      <c r="F6" s="196" t="s">
        <v>43</v>
      </c>
      <c r="G6" s="227" t="s">
        <v>63</v>
      </c>
      <c r="H6" s="232">
        <f>COUNTIF(F4:F503,"Function Not Available")</f>
        <v>0</v>
      </c>
      <c r="I6" s="229">
        <f t="shared" ref="I6:I12" si="1">VLOOKUP($D6,SpecData,2,FALSE)</f>
        <v>3</v>
      </c>
      <c r="J6" s="230">
        <f t="shared" ref="J6:J12" si="2">VLOOKUP($F6,AvailabilityData,2,FALSE)</f>
        <v>0</v>
      </c>
      <c r="K6" s="233">
        <f t="shared" ref="K6:K12" si="3">I6*J6</f>
        <v>0</v>
      </c>
      <c r="L6" s="62"/>
    </row>
    <row r="7" spans="2:12" ht="30" customHeight="1" x14ac:dyDescent="0.25">
      <c r="B7" s="147" t="str">
        <f t="shared" si="0"/>
        <v>MMap</v>
      </c>
      <c r="C7" s="148">
        <f>IF(ISTEXT(D7),MAX($C$6:$C6)+1,"")</f>
        <v>4</v>
      </c>
      <c r="D7" s="149" t="s">
        <v>9</v>
      </c>
      <c r="E7" s="172" t="s">
        <v>248</v>
      </c>
      <c r="F7" s="202" t="s">
        <v>43</v>
      </c>
      <c r="G7" s="227" t="s">
        <v>65</v>
      </c>
      <c r="H7" s="232">
        <f>COUNTIF(F4:F503,"Exception")</f>
        <v>0</v>
      </c>
      <c r="I7" s="229">
        <f t="shared" si="1"/>
        <v>3</v>
      </c>
      <c r="J7" s="230">
        <f t="shared" si="2"/>
        <v>0</v>
      </c>
      <c r="K7" s="231">
        <f t="shared" si="3"/>
        <v>0</v>
      </c>
      <c r="L7" s="62"/>
    </row>
    <row r="8" spans="2:12" ht="30" customHeight="1" x14ac:dyDescent="0.25">
      <c r="B8" s="147" t="str">
        <f t="shared" si="0"/>
        <v>MMap</v>
      </c>
      <c r="C8" s="148">
        <f>IF(ISTEXT(D8),MAX($C$6:$C7)+1,"")</f>
        <v>5</v>
      </c>
      <c r="D8" s="149" t="s">
        <v>11</v>
      </c>
      <c r="E8" s="172" t="s">
        <v>489</v>
      </c>
      <c r="F8" s="196" t="s">
        <v>43</v>
      </c>
      <c r="G8" s="227" t="s">
        <v>66</v>
      </c>
      <c r="H8" s="234">
        <f>COUNTIFS(D:D,"=Crucial",F:F,"=Select From Drop Down")</f>
        <v>45</v>
      </c>
      <c r="I8" s="229">
        <f t="shared" si="1"/>
        <v>1</v>
      </c>
      <c r="J8" s="230">
        <f t="shared" si="2"/>
        <v>0</v>
      </c>
      <c r="K8" s="233">
        <f t="shared" si="3"/>
        <v>0</v>
      </c>
      <c r="L8" s="62"/>
    </row>
    <row r="9" spans="2:12" ht="30" customHeight="1" x14ac:dyDescent="0.25">
      <c r="B9" s="147" t="str">
        <f t="shared" si="0"/>
        <v>MMap</v>
      </c>
      <c r="C9" s="148">
        <v>6</v>
      </c>
      <c r="D9" s="149" t="s">
        <v>11</v>
      </c>
      <c r="E9" s="172" t="s">
        <v>394</v>
      </c>
      <c r="F9" s="202" t="s">
        <v>43</v>
      </c>
      <c r="G9" s="227" t="s">
        <v>67</v>
      </c>
      <c r="H9" s="234">
        <f>COUNTIFS(D:D,"=Crucial",F:F,"=Function Available")</f>
        <v>0</v>
      </c>
      <c r="I9" s="229">
        <f t="shared" si="1"/>
        <v>1</v>
      </c>
      <c r="J9" s="230">
        <f t="shared" si="2"/>
        <v>0</v>
      </c>
      <c r="K9" s="233">
        <f t="shared" si="3"/>
        <v>0</v>
      </c>
      <c r="L9" s="62"/>
    </row>
    <row r="10" spans="2:12" ht="30" customHeight="1" x14ac:dyDescent="0.25">
      <c r="B10" s="147" t="str">
        <f t="shared" si="0"/>
        <v>MMap</v>
      </c>
      <c r="C10" s="148">
        <v>7</v>
      </c>
      <c r="D10" s="149" t="s">
        <v>11</v>
      </c>
      <c r="E10" s="172" t="s">
        <v>490</v>
      </c>
      <c r="F10" s="196" t="s">
        <v>43</v>
      </c>
      <c r="G10" s="227" t="s">
        <v>69</v>
      </c>
      <c r="H10" s="234">
        <f>COUNTIFS(D:D,"=Crucial",F:F,"=Function Not Available")</f>
        <v>0</v>
      </c>
      <c r="I10" s="229">
        <f t="shared" si="1"/>
        <v>1</v>
      </c>
      <c r="J10" s="230">
        <f t="shared" si="2"/>
        <v>0</v>
      </c>
      <c r="K10" s="233">
        <f t="shared" si="3"/>
        <v>0</v>
      </c>
      <c r="L10" s="62"/>
    </row>
    <row r="11" spans="2:12" ht="30" customHeight="1" x14ac:dyDescent="0.25">
      <c r="B11" s="147" t="str">
        <f t="shared" si="0"/>
        <v>MMap</v>
      </c>
      <c r="C11" s="148">
        <f>IF(ISTEXT(D11),MAX($C$9:$C10)+1,"")</f>
        <v>8</v>
      </c>
      <c r="D11" s="149" t="s">
        <v>9</v>
      </c>
      <c r="E11" s="172" t="s">
        <v>491</v>
      </c>
      <c r="F11" s="202" t="s">
        <v>43</v>
      </c>
      <c r="G11" s="235" t="s">
        <v>71</v>
      </c>
      <c r="H11" s="236">
        <f>COUNTIFS(D:D,"=Crucial",F:F,"=Exception")</f>
        <v>0</v>
      </c>
      <c r="I11" s="237">
        <f t="shared" si="1"/>
        <v>3</v>
      </c>
      <c r="J11" s="229">
        <f t="shared" si="2"/>
        <v>0</v>
      </c>
      <c r="K11" s="238">
        <f t="shared" si="3"/>
        <v>0</v>
      </c>
      <c r="L11" s="63"/>
    </row>
    <row r="12" spans="2:12" ht="30" customHeight="1" x14ac:dyDescent="0.25">
      <c r="B12" s="147" t="str">
        <f t="shared" si="0"/>
        <v>MMap</v>
      </c>
      <c r="C12" s="148">
        <f>IF(ISTEXT(D12),MAX($C$9:$C11)+1,"")</f>
        <v>9</v>
      </c>
      <c r="D12" s="149" t="s">
        <v>9</v>
      </c>
      <c r="E12" s="172" t="s">
        <v>249</v>
      </c>
      <c r="F12" s="196" t="s">
        <v>43</v>
      </c>
      <c r="G12" s="227" t="s">
        <v>72</v>
      </c>
      <c r="H12" s="234">
        <f>COUNTIFS(D:D,"=Important",F:F,"=Select From Drop Down")</f>
        <v>23</v>
      </c>
      <c r="I12" s="237">
        <f t="shared" si="1"/>
        <v>3</v>
      </c>
      <c r="J12" s="229">
        <f t="shared" si="2"/>
        <v>0</v>
      </c>
      <c r="K12" s="233">
        <f t="shared" si="3"/>
        <v>0</v>
      </c>
      <c r="L12" s="64"/>
    </row>
    <row r="13" spans="2:12" ht="30" customHeight="1" x14ac:dyDescent="0.25">
      <c r="B13" s="147" t="str">
        <f t="shared" si="0"/>
        <v>MMap</v>
      </c>
      <c r="C13" s="148">
        <f>IF(ISTEXT(D13),MAX($C$9:$C12)+1,"")</f>
        <v>10</v>
      </c>
      <c r="D13" s="149" t="s">
        <v>9</v>
      </c>
      <c r="E13" s="172" t="s">
        <v>492</v>
      </c>
      <c r="F13" s="202" t="s">
        <v>43</v>
      </c>
      <c r="G13" s="227" t="s">
        <v>74</v>
      </c>
      <c r="H13" s="234">
        <f>COUNTIFS(D:D,"=Important",F:F,"=Function Available")</f>
        <v>0</v>
      </c>
      <c r="I13" s="229">
        <f>VLOOKUP($D13,SpecData,2,FALSE)</f>
        <v>3</v>
      </c>
      <c r="J13" s="230">
        <f>VLOOKUP($F13,AvailabilityData,2,FALSE)</f>
        <v>0</v>
      </c>
      <c r="K13" s="233">
        <f>I13*J13</f>
        <v>0</v>
      </c>
      <c r="L13" s="62"/>
    </row>
    <row r="14" spans="2:12" ht="30" customHeight="1" x14ac:dyDescent="0.25">
      <c r="B14" s="147" t="str">
        <f t="shared" si="0"/>
        <v>MMap</v>
      </c>
      <c r="C14" s="148">
        <f>IF(ISTEXT(D14),MAX($C$9:$C13)+1,"")</f>
        <v>11</v>
      </c>
      <c r="D14" s="149" t="s">
        <v>9</v>
      </c>
      <c r="E14" s="172" t="s">
        <v>493</v>
      </c>
      <c r="F14" s="196" t="s">
        <v>43</v>
      </c>
      <c r="G14" s="239" t="s">
        <v>76</v>
      </c>
      <c r="H14" s="240">
        <f>COUNTIFS(D:D,"=Important",F:F,"=Function Not Available")</f>
        <v>0</v>
      </c>
      <c r="I14" s="241">
        <f>VLOOKUP($D14,SpecData,2,FALSE)</f>
        <v>3</v>
      </c>
      <c r="J14" s="242">
        <f>VLOOKUP($F14,AvailabilityData,2,FALSE)</f>
        <v>0</v>
      </c>
      <c r="K14" s="243">
        <f>I14*J14</f>
        <v>0</v>
      </c>
      <c r="L14" s="62"/>
    </row>
    <row r="15" spans="2:12" ht="30" customHeight="1" x14ac:dyDescent="0.25">
      <c r="B15" s="147" t="str">
        <f t="shared" si="0"/>
        <v>MMap</v>
      </c>
      <c r="C15" s="148">
        <f>IF(ISTEXT(D15),MAX($C$9:$C14)+1,"")</f>
        <v>12</v>
      </c>
      <c r="D15" s="149" t="s">
        <v>9</v>
      </c>
      <c r="E15" s="172" t="s">
        <v>250</v>
      </c>
      <c r="F15" s="202" t="s">
        <v>43</v>
      </c>
      <c r="G15" s="253" t="s">
        <v>77</v>
      </c>
      <c r="H15" s="254">
        <f>COUNTIFS(D:D,"=Important",F:F,"=Exception")</f>
        <v>0</v>
      </c>
      <c r="I15" s="229">
        <f t="shared" ref="I15:I28" si="4">VLOOKUP($D15,SpecData,2,FALSE)</f>
        <v>3</v>
      </c>
      <c r="J15" s="230">
        <f t="shared" ref="J15:J28" si="5">VLOOKUP($F15,AvailabilityData,2,FALSE)</f>
        <v>0</v>
      </c>
      <c r="K15" s="231">
        <f t="shared" ref="K15:K34" si="6">I15*J15</f>
        <v>0</v>
      </c>
      <c r="L15" s="65"/>
    </row>
    <row r="16" spans="2:12" ht="30" customHeight="1" x14ac:dyDescent="0.25">
      <c r="B16" s="147" t="str">
        <f t="shared" si="0"/>
        <v>MMap</v>
      </c>
      <c r="C16" s="148">
        <f>IF(ISTEXT(D16),MAX($C$9:$C15)+1,"")</f>
        <v>13</v>
      </c>
      <c r="D16" s="149" t="s">
        <v>9</v>
      </c>
      <c r="E16" s="172" t="s">
        <v>251</v>
      </c>
      <c r="F16" s="196" t="s">
        <v>43</v>
      </c>
      <c r="G16" s="227" t="s">
        <v>79</v>
      </c>
      <c r="H16" s="234">
        <f>COUNTIFS(D:D,"=Minimal",F:F,"=Select From Drop Down")</f>
        <v>14</v>
      </c>
      <c r="I16" s="249">
        <f t="shared" si="4"/>
        <v>3</v>
      </c>
      <c r="J16" s="237">
        <f t="shared" si="5"/>
        <v>0</v>
      </c>
      <c r="K16" s="233">
        <f t="shared" si="6"/>
        <v>0</v>
      </c>
      <c r="L16" s="65"/>
    </row>
    <row r="17" spans="2:12" ht="30" customHeight="1" x14ac:dyDescent="0.25">
      <c r="B17" s="147" t="str">
        <f t="shared" si="0"/>
        <v>MMap</v>
      </c>
      <c r="C17" s="148">
        <f>IF(ISTEXT(D17),MAX($C$9:$C16)+1,"")</f>
        <v>14</v>
      </c>
      <c r="D17" s="149" t="s">
        <v>9</v>
      </c>
      <c r="E17" s="172" t="s">
        <v>252</v>
      </c>
      <c r="F17" s="202" t="s">
        <v>43</v>
      </c>
      <c r="G17" s="227" t="s">
        <v>82</v>
      </c>
      <c r="H17" s="234">
        <f>COUNTIFS(D:D,"=Minimal",F:F,"=Function Available")</f>
        <v>0</v>
      </c>
      <c r="I17" s="249">
        <f t="shared" si="4"/>
        <v>3</v>
      </c>
      <c r="J17" s="237">
        <f t="shared" si="5"/>
        <v>0</v>
      </c>
      <c r="K17" s="233">
        <f t="shared" si="6"/>
        <v>0</v>
      </c>
      <c r="L17" s="62"/>
    </row>
    <row r="18" spans="2:12" ht="30" customHeight="1" x14ac:dyDescent="0.25">
      <c r="B18" s="147" t="str">
        <f t="shared" si="0"/>
        <v>MMap</v>
      </c>
      <c r="C18" s="148">
        <f>IF(ISTEXT(D18),MAX($C$9:$C17)+1,"")</f>
        <v>15</v>
      </c>
      <c r="D18" s="149" t="s">
        <v>9</v>
      </c>
      <c r="E18" s="172" t="s">
        <v>395</v>
      </c>
      <c r="F18" s="196" t="s">
        <v>43</v>
      </c>
      <c r="G18" s="227" t="s">
        <v>84</v>
      </c>
      <c r="H18" s="234">
        <f>COUNTIFS(D:D,"=Minimal",F:F,"=Function Not Available")</f>
        <v>0</v>
      </c>
      <c r="I18" s="249">
        <f t="shared" si="4"/>
        <v>3</v>
      </c>
      <c r="J18" s="237">
        <f t="shared" si="5"/>
        <v>0</v>
      </c>
      <c r="K18" s="233">
        <f t="shared" si="6"/>
        <v>0</v>
      </c>
      <c r="L18" s="65"/>
    </row>
    <row r="19" spans="2:12" ht="30" customHeight="1" x14ac:dyDescent="0.25">
      <c r="B19" s="147" t="str">
        <f t="shared" si="0"/>
        <v>MMap</v>
      </c>
      <c r="C19" s="148">
        <f>IF(ISTEXT(D19),MAX($C$9:$C18)+1,"")</f>
        <v>16</v>
      </c>
      <c r="D19" s="149" t="s">
        <v>11</v>
      </c>
      <c r="E19" s="172" t="s">
        <v>396</v>
      </c>
      <c r="F19" s="202" t="s">
        <v>43</v>
      </c>
      <c r="G19" s="227" t="s">
        <v>86</v>
      </c>
      <c r="H19" s="234">
        <f>COUNTIFS(D:D,"=Minimal",F:F,"=Exception")</f>
        <v>0</v>
      </c>
      <c r="I19" s="249">
        <f t="shared" si="4"/>
        <v>1</v>
      </c>
      <c r="J19" s="237">
        <f t="shared" si="5"/>
        <v>0</v>
      </c>
      <c r="K19" s="233">
        <f t="shared" si="6"/>
        <v>0</v>
      </c>
      <c r="L19" s="62"/>
    </row>
    <row r="20" spans="2:12" ht="30" customHeight="1" x14ac:dyDescent="0.25">
      <c r="B20" s="147" t="str">
        <f t="shared" si="0"/>
        <v>MMap</v>
      </c>
      <c r="C20" s="148">
        <f>IF(ISTEXT(D20),MAX($C$9:$C19)+1,"")</f>
        <v>17</v>
      </c>
      <c r="D20" s="149" t="s">
        <v>9</v>
      </c>
      <c r="E20" s="172" t="s">
        <v>525</v>
      </c>
      <c r="F20" s="196" t="s">
        <v>43</v>
      </c>
      <c r="G20" s="227"/>
      <c r="H20" s="232"/>
      <c r="I20" s="249">
        <f t="shared" si="4"/>
        <v>3</v>
      </c>
      <c r="J20" s="237">
        <f t="shared" si="5"/>
        <v>0</v>
      </c>
      <c r="K20" s="233">
        <f t="shared" si="6"/>
        <v>0</v>
      </c>
      <c r="L20" s="65"/>
    </row>
    <row r="21" spans="2:12" ht="30" customHeight="1" x14ac:dyDescent="0.25">
      <c r="B21" s="147" t="str">
        <f t="shared" si="0"/>
        <v>MMap</v>
      </c>
      <c r="C21" s="148">
        <f>IF(ISTEXT(D21),MAX($C$9:$C20)+1,"")</f>
        <v>18</v>
      </c>
      <c r="D21" s="149" t="s">
        <v>10</v>
      </c>
      <c r="E21" s="172" t="s">
        <v>505</v>
      </c>
      <c r="F21" s="196" t="s">
        <v>43</v>
      </c>
      <c r="G21" s="227"/>
      <c r="H21" s="232"/>
      <c r="I21" s="249">
        <f t="shared" si="4"/>
        <v>2</v>
      </c>
      <c r="J21" s="237">
        <f t="shared" si="5"/>
        <v>0</v>
      </c>
      <c r="K21" s="233">
        <f t="shared" si="6"/>
        <v>0</v>
      </c>
      <c r="L21" s="65"/>
    </row>
    <row r="22" spans="2:12" ht="31.15" customHeight="1" x14ac:dyDescent="0.25">
      <c r="B22" s="147" t="str">
        <f t="shared" si="0"/>
        <v>MMap</v>
      </c>
      <c r="C22" s="148">
        <f>IF(ISTEXT(D22),MAX($C$9:$C21)+1,"")</f>
        <v>19</v>
      </c>
      <c r="D22" s="149" t="s">
        <v>9</v>
      </c>
      <c r="E22" s="172" t="s">
        <v>506</v>
      </c>
      <c r="F22" s="196" t="s">
        <v>43</v>
      </c>
      <c r="G22" s="227"/>
      <c r="H22" s="232"/>
      <c r="I22" s="249">
        <f t="shared" si="4"/>
        <v>3</v>
      </c>
      <c r="J22" s="237">
        <f t="shared" si="5"/>
        <v>0</v>
      </c>
      <c r="K22" s="233">
        <f t="shared" si="6"/>
        <v>0</v>
      </c>
      <c r="L22" s="65"/>
    </row>
    <row r="23" spans="2:12" ht="30" customHeight="1" x14ac:dyDescent="0.25">
      <c r="B23" s="147" t="str">
        <f t="shared" si="0"/>
        <v>MMap</v>
      </c>
      <c r="C23" s="148">
        <f>IF(ISTEXT(D23),MAX($C$9:$C22)+1,"")</f>
        <v>20</v>
      </c>
      <c r="D23" s="149" t="s">
        <v>11</v>
      </c>
      <c r="E23" s="172" t="s">
        <v>397</v>
      </c>
      <c r="F23" s="202" t="s">
        <v>43</v>
      </c>
      <c r="G23" s="227"/>
      <c r="H23" s="232"/>
      <c r="I23" s="249">
        <f t="shared" si="4"/>
        <v>1</v>
      </c>
      <c r="J23" s="237">
        <f t="shared" si="5"/>
        <v>0</v>
      </c>
      <c r="K23" s="233">
        <f t="shared" si="6"/>
        <v>0</v>
      </c>
      <c r="L23" s="65"/>
    </row>
    <row r="24" spans="2:12" ht="30" customHeight="1" x14ac:dyDescent="0.25">
      <c r="B24" s="147" t="str">
        <f t="shared" si="0"/>
        <v>MMap</v>
      </c>
      <c r="C24" s="148">
        <f>IF(ISTEXT(D24),MAX($C$9:$C23)+1,"")</f>
        <v>21</v>
      </c>
      <c r="D24" s="149" t="s">
        <v>9</v>
      </c>
      <c r="E24" s="172" t="s">
        <v>398</v>
      </c>
      <c r="F24" s="196" t="s">
        <v>43</v>
      </c>
      <c r="G24" s="227"/>
      <c r="H24" s="232"/>
      <c r="I24" s="249">
        <f t="shared" si="4"/>
        <v>3</v>
      </c>
      <c r="J24" s="237">
        <f t="shared" si="5"/>
        <v>0</v>
      </c>
      <c r="K24" s="233">
        <f t="shared" si="6"/>
        <v>0</v>
      </c>
      <c r="L24" s="62"/>
    </row>
    <row r="25" spans="2:12" ht="42.75" x14ac:dyDescent="0.25">
      <c r="B25" s="147" t="str">
        <f t="shared" si="0"/>
        <v>MMap</v>
      </c>
      <c r="C25" s="148">
        <f>IF(ISTEXT(D25),MAX($C$9:$C24)+1,"")</f>
        <v>22</v>
      </c>
      <c r="D25" s="149" t="s">
        <v>9</v>
      </c>
      <c r="E25" s="172" t="s">
        <v>399</v>
      </c>
      <c r="F25" s="202" t="s">
        <v>43</v>
      </c>
      <c r="G25" s="227"/>
      <c r="H25" s="232"/>
      <c r="I25" s="249">
        <f t="shared" si="4"/>
        <v>3</v>
      </c>
      <c r="J25" s="237">
        <f t="shared" si="5"/>
        <v>0</v>
      </c>
      <c r="K25" s="233">
        <f t="shared" si="6"/>
        <v>0</v>
      </c>
      <c r="L25" s="65"/>
    </row>
    <row r="26" spans="2:12" ht="30" customHeight="1" x14ac:dyDescent="0.25">
      <c r="B26" s="147" t="str">
        <f t="shared" si="0"/>
        <v>MMap</v>
      </c>
      <c r="C26" s="148">
        <f>IF(ISTEXT(D26),MAX($C$9:$C25)+1,"")</f>
        <v>23</v>
      </c>
      <c r="D26" s="149" t="s">
        <v>9</v>
      </c>
      <c r="E26" s="172" t="s">
        <v>400</v>
      </c>
      <c r="F26" s="196" t="s">
        <v>43</v>
      </c>
      <c r="G26" s="227"/>
      <c r="H26" s="232"/>
      <c r="I26" s="249">
        <f t="shared" si="4"/>
        <v>3</v>
      </c>
      <c r="J26" s="237">
        <f t="shared" si="5"/>
        <v>0</v>
      </c>
      <c r="K26" s="233">
        <f t="shared" si="6"/>
        <v>0</v>
      </c>
      <c r="L26" s="62"/>
    </row>
    <row r="27" spans="2:12" ht="30" customHeight="1" x14ac:dyDescent="0.25">
      <c r="B27" s="147" t="str">
        <f t="shared" si="0"/>
        <v>MMap</v>
      </c>
      <c r="C27" s="148">
        <f>IF(ISTEXT(D27),MAX($C$9:$C26)+1,"")</f>
        <v>24</v>
      </c>
      <c r="D27" s="149" t="s">
        <v>9</v>
      </c>
      <c r="E27" s="172" t="s">
        <v>401</v>
      </c>
      <c r="F27" s="202" t="s">
        <v>43</v>
      </c>
      <c r="G27" s="227"/>
      <c r="H27" s="232"/>
      <c r="I27" s="249">
        <f t="shared" si="4"/>
        <v>3</v>
      </c>
      <c r="J27" s="237">
        <f t="shared" si="5"/>
        <v>0</v>
      </c>
      <c r="K27" s="233">
        <f t="shared" si="6"/>
        <v>0</v>
      </c>
      <c r="L27" s="65"/>
    </row>
    <row r="28" spans="2:12" ht="30" customHeight="1" x14ac:dyDescent="0.25">
      <c r="B28" s="147" t="str">
        <f t="shared" si="0"/>
        <v>MMap</v>
      </c>
      <c r="C28" s="148">
        <f>IF(ISTEXT(D28),MAX($C$9:$C27)+1,"")</f>
        <v>25</v>
      </c>
      <c r="D28" s="149" t="s">
        <v>9</v>
      </c>
      <c r="E28" s="172" t="s">
        <v>402</v>
      </c>
      <c r="F28" s="196" t="s">
        <v>43</v>
      </c>
      <c r="G28" s="227"/>
      <c r="H28" s="232"/>
      <c r="I28" s="249">
        <f t="shared" si="4"/>
        <v>3</v>
      </c>
      <c r="J28" s="237">
        <f t="shared" si="5"/>
        <v>0</v>
      </c>
      <c r="K28" s="233">
        <f t="shared" si="6"/>
        <v>0</v>
      </c>
      <c r="L28" s="65"/>
    </row>
    <row r="29" spans="2:12" ht="30" customHeight="1" x14ac:dyDescent="0.25">
      <c r="B29" s="147" t="str">
        <f t="shared" si="0"/>
        <v>MMap</v>
      </c>
      <c r="C29" s="148">
        <f>IF(ISTEXT(D29),MAX($C$9:$C28)+1,"")</f>
        <v>26</v>
      </c>
      <c r="D29" s="149" t="s">
        <v>9</v>
      </c>
      <c r="E29" s="172" t="s">
        <v>403</v>
      </c>
      <c r="F29" s="202" t="s">
        <v>43</v>
      </c>
      <c r="G29" s="227"/>
      <c r="H29" s="232"/>
      <c r="I29" s="249">
        <f t="shared" ref="I29:I88" si="7">VLOOKUP($D29,SpecData,2,FALSE)</f>
        <v>3</v>
      </c>
      <c r="J29" s="237">
        <f t="shared" ref="J29:J88" si="8">VLOOKUP($F29,AvailabilityData,2,FALSE)</f>
        <v>0</v>
      </c>
      <c r="K29" s="233">
        <f t="shared" si="6"/>
        <v>0</v>
      </c>
      <c r="L29" s="62"/>
    </row>
    <row r="30" spans="2:12" ht="30" customHeight="1" x14ac:dyDescent="0.25">
      <c r="B30" s="147" t="str">
        <f t="shared" si="0"/>
        <v>MMap</v>
      </c>
      <c r="C30" s="148">
        <f>IF(ISTEXT(D30),MAX($C$9:$C29)+1,"")</f>
        <v>27</v>
      </c>
      <c r="D30" s="149" t="s">
        <v>9</v>
      </c>
      <c r="E30" s="172" t="s">
        <v>253</v>
      </c>
      <c r="F30" s="196" t="s">
        <v>43</v>
      </c>
      <c r="G30" s="227"/>
      <c r="H30" s="232"/>
      <c r="I30" s="249">
        <f t="shared" si="7"/>
        <v>3</v>
      </c>
      <c r="J30" s="237">
        <f t="shared" si="8"/>
        <v>0</v>
      </c>
      <c r="K30" s="233">
        <f t="shared" si="6"/>
        <v>0</v>
      </c>
      <c r="L30" s="65"/>
    </row>
    <row r="31" spans="2:12" ht="43.15" customHeight="1" x14ac:dyDescent="0.25">
      <c r="B31" s="147" t="str">
        <f t="shared" si="0"/>
        <v>MMap</v>
      </c>
      <c r="C31" s="148">
        <f>IF(ISTEXT(D31),MAX($C$9:$C30)+1,"")</f>
        <v>28</v>
      </c>
      <c r="D31" s="149" t="s">
        <v>9</v>
      </c>
      <c r="E31" s="172" t="s">
        <v>404</v>
      </c>
      <c r="F31" s="202" t="s">
        <v>43</v>
      </c>
      <c r="G31" s="227"/>
      <c r="H31" s="232"/>
      <c r="I31" s="249">
        <f t="shared" si="7"/>
        <v>3</v>
      </c>
      <c r="J31" s="237">
        <f t="shared" si="8"/>
        <v>0</v>
      </c>
      <c r="K31" s="233">
        <f t="shared" si="6"/>
        <v>0</v>
      </c>
      <c r="L31" s="62"/>
    </row>
    <row r="32" spans="2:12" ht="30" customHeight="1" x14ac:dyDescent="0.25">
      <c r="B32" s="147" t="str">
        <f t="shared" si="0"/>
        <v>MMap</v>
      </c>
      <c r="C32" s="148">
        <f>IF(ISTEXT(D32),MAX($C$9:$C31)+1,"")</f>
        <v>29</v>
      </c>
      <c r="D32" s="149" t="s">
        <v>10</v>
      </c>
      <c r="E32" s="172" t="s">
        <v>494</v>
      </c>
      <c r="F32" s="196" t="s">
        <v>43</v>
      </c>
      <c r="G32" s="227"/>
      <c r="H32" s="232"/>
      <c r="I32" s="249">
        <f t="shared" si="7"/>
        <v>2</v>
      </c>
      <c r="J32" s="237">
        <f t="shared" si="8"/>
        <v>0</v>
      </c>
      <c r="K32" s="233">
        <f t="shared" si="6"/>
        <v>0</v>
      </c>
      <c r="L32" s="65"/>
    </row>
    <row r="33" spans="2:12" ht="30" customHeight="1" x14ac:dyDescent="0.25">
      <c r="B33" s="147" t="str">
        <f t="shared" si="0"/>
        <v>MMap</v>
      </c>
      <c r="C33" s="148">
        <f>IF(ISTEXT(D33),MAX($C$9:$C32)+1,"")</f>
        <v>30</v>
      </c>
      <c r="D33" s="149" t="s">
        <v>10</v>
      </c>
      <c r="E33" s="172" t="s">
        <v>254</v>
      </c>
      <c r="F33" s="202" t="s">
        <v>43</v>
      </c>
      <c r="G33" s="227"/>
      <c r="H33" s="232"/>
      <c r="I33" s="249">
        <f t="shared" si="7"/>
        <v>2</v>
      </c>
      <c r="J33" s="237">
        <f t="shared" si="8"/>
        <v>0</v>
      </c>
      <c r="K33" s="233">
        <f t="shared" si="6"/>
        <v>0</v>
      </c>
      <c r="L33" s="65"/>
    </row>
    <row r="34" spans="2:12" ht="30" customHeight="1" x14ac:dyDescent="0.25">
      <c r="B34" s="147" t="str">
        <f t="shared" si="0"/>
        <v>MMap</v>
      </c>
      <c r="C34" s="148">
        <f>IF(ISTEXT(D34),MAX($C$9:$C33)+1,"")</f>
        <v>31</v>
      </c>
      <c r="D34" s="149" t="s">
        <v>11</v>
      </c>
      <c r="E34" s="172" t="s">
        <v>405</v>
      </c>
      <c r="F34" s="196" t="s">
        <v>43</v>
      </c>
      <c r="G34" s="227"/>
      <c r="H34" s="232"/>
      <c r="I34" s="249">
        <f t="shared" si="7"/>
        <v>1</v>
      </c>
      <c r="J34" s="237">
        <f t="shared" si="8"/>
        <v>0</v>
      </c>
      <c r="K34" s="233">
        <f t="shared" si="6"/>
        <v>0</v>
      </c>
      <c r="L34" s="62"/>
    </row>
    <row r="35" spans="2:12" ht="42.75" x14ac:dyDescent="0.25">
      <c r="B35" s="147" t="str">
        <f t="shared" ref="B35:B48" si="9">IF(C35="","",$B$4)</f>
        <v>MMap</v>
      </c>
      <c r="C35" s="148">
        <f>IF(ISTEXT(D35),MAX($C$9:$C34)+1,"")</f>
        <v>32</v>
      </c>
      <c r="D35" s="149" t="s">
        <v>10</v>
      </c>
      <c r="E35" s="172" t="s">
        <v>406</v>
      </c>
      <c r="F35" s="202" t="s">
        <v>43</v>
      </c>
      <c r="G35" s="227"/>
      <c r="H35" s="232"/>
      <c r="I35" s="249">
        <f t="shared" si="7"/>
        <v>2</v>
      </c>
      <c r="J35" s="237">
        <f t="shared" si="8"/>
        <v>0</v>
      </c>
      <c r="K35" s="233">
        <f t="shared" ref="K35:K48" si="10">I35*J35</f>
        <v>0</v>
      </c>
      <c r="L35" s="65"/>
    </row>
    <row r="36" spans="2:12" ht="30" customHeight="1" x14ac:dyDescent="0.25">
      <c r="B36" s="147" t="str">
        <f t="shared" si="9"/>
        <v>MMap</v>
      </c>
      <c r="C36" s="148">
        <f>IF(ISTEXT(D36),MAX($C$9:$C35)+1,"")</f>
        <v>33</v>
      </c>
      <c r="D36" s="149" t="s">
        <v>9</v>
      </c>
      <c r="E36" s="172" t="s">
        <v>255</v>
      </c>
      <c r="F36" s="196" t="s">
        <v>43</v>
      </c>
      <c r="G36" s="227"/>
      <c r="H36" s="232"/>
      <c r="I36" s="249">
        <f t="shared" si="7"/>
        <v>3</v>
      </c>
      <c r="J36" s="237">
        <f t="shared" si="8"/>
        <v>0</v>
      </c>
      <c r="K36" s="233">
        <f t="shared" si="10"/>
        <v>0</v>
      </c>
      <c r="L36" s="62"/>
    </row>
    <row r="37" spans="2:12" ht="30" customHeight="1" x14ac:dyDescent="0.25">
      <c r="B37" s="147" t="str">
        <f t="shared" si="9"/>
        <v>MMap</v>
      </c>
      <c r="C37" s="148">
        <f>IF(ISTEXT(D37),MAX($C$9:$C36)+1,"")</f>
        <v>34</v>
      </c>
      <c r="D37" s="149" t="s">
        <v>11</v>
      </c>
      <c r="E37" s="172" t="s">
        <v>495</v>
      </c>
      <c r="F37" s="202" t="s">
        <v>43</v>
      </c>
      <c r="G37" s="227"/>
      <c r="H37" s="232"/>
      <c r="I37" s="249">
        <f t="shared" si="7"/>
        <v>1</v>
      </c>
      <c r="J37" s="237">
        <f t="shared" si="8"/>
        <v>0</v>
      </c>
      <c r="K37" s="233">
        <f t="shared" si="10"/>
        <v>0</v>
      </c>
      <c r="L37" s="65"/>
    </row>
    <row r="38" spans="2:12" ht="30" customHeight="1" x14ac:dyDescent="0.25">
      <c r="B38" s="147" t="str">
        <f t="shared" si="9"/>
        <v>MMap</v>
      </c>
      <c r="C38" s="148">
        <f>IF(ISTEXT(D38),MAX($C$9:$C37)+1,"")</f>
        <v>35</v>
      </c>
      <c r="D38" s="149" t="s">
        <v>11</v>
      </c>
      <c r="E38" s="173" t="s">
        <v>407</v>
      </c>
      <c r="F38" s="196" t="s">
        <v>43</v>
      </c>
      <c r="G38" s="227"/>
      <c r="H38" s="232"/>
      <c r="I38" s="249">
        <f t="shared" si="7"/>
        <v>1</v>
      </c>
      <c r="J38" s="237">
        <f t="shared" si="8"/>
        <v>0</v>
      </c>
      <c r="K38" s="233">
        <f t="shared" si="10"/>
        <v>0</v>
      </c>
      <c r="L38" s="65"/>
    </row>
    <row r="39" spans="2:12" ht="30" customHeight="1" x14ac:dyDescent="0.25">
      <c r="B39" s="147" t="str">
        <f t="shared" si="9"/>
        <v>MMap</v>
      </c>
      <c r="C39" s="148">
        <f>IF(ISTEXT(D39),MAX($C$9:$C38)+1,"")</f>
        <v>36</v>
      </c>
      <c r="D39" s="149" t="s">
        <v>9</v>
      </c>
      <c r="E39" s="173" t="s">
        <v>408</v>
      </c>
      <c r="F39" s="202" t="s">
        <v>43</v>
      </c>
      <c r="G39" s="227"/>
      <c r="H39" s="232"/>
      <c r="I39" s="249">
        <f t="shared" si="7"/>
        <v>3</v>
      </c>
      <c r="J39" s="237">
        <f t="shared" si="8"/>
        <v>0</v>
      </c>
      <c r="K39" s="233">
        <f t="shared" si="10"/>
        <v>0</v>
      </c>
      <c r="L39" s="62"/>
    </row>
    <row r="40" spans="2:12" ht="30" customHeight="1" x14ac:dyDescent="0.25">
      <c r="B40" s="147" t="str">
        <f t="shared" si="9"/>
        <v>MMap</v>
      </c>
      <c r="C40" s="148">
        <f>IF(ISTEXT(D40),MAX($C$9:$C39)+1,"")</f>
        <v>37</v>
      </c>
      <c r="D40" s="149" t="s">
        <v>10</v>
      </c>
      <c r="E40" s="174" t="s">
        <v>508</v>
      </c>
      <c r="F40" s="196" t="s">
        <v>43</v>
      </c>
      <c r="G40" s="227"/>
      <c r="H40" s="232"/>
      <c r="I40" s="249">
        <f t="shared" si="7"/>
        <v>2</v>
      </c>
      <c r="J40" s="237">
        <f t="shared" si="8"/>
        <v>0</v>
      </c>
      <c r="K40" s="233">
        <f t="shared" si="10"/>
        <v>0</v>
      </c>
      <c r="L40" s="65"/>
    </row>
    <row r="41" spans="2:12" ht="30" customHeight="1" x14ac:dyDescent="0.25">
      <c r="B41" s="147" t="str">
        <f t="shared" si="9"/>
        <v>MMap</v>
      </c>
      <c r="C41" s="148">
        <f>IF(ISTEXT(D41),MAX($C$9:$C40)+1,"")</f>
        <v>38</v>
      </c>
      <c r="D41" s="149" t="s">
        <v>9</v>
      </c>
      <c r="E41" s="174" t="s">
        <v>409</v>
      </c>
      <c r="F41" s="202" t="s">
        <v>43</v>
      </c>
      <c r="G41" s="235"/>
      <c r="H41" s="250"/>
      <c r="I41" s="251">
        <f t="shared" si="7"/>
        <v>3</v>
      </c>
      <c r="J41" s="252">
        <f t="shared" si="8"/>
        <v>0</v>
      </c>
      <c r="K41" s="238">
        <f t="shared" si="10"/>
        <v>0</v>
      </c>
      <c r="L41" s="66"/>
    </row>
    <row r="42" spans="2:12" ht="30" customHeight="1" x14ac:dyDescent="0.25">
      <c r="B42" s="160" t="str">
        <f t="shared" si="9"/>
        <v/>
      </c>
      <c r="C42" s="121" t="str">
        <f>IF(ISTEXT(D42),MAX($C$9:$C41)+1,"")</f>
        <v/>
      </c>
      <c r="D42" s="121"/>
      <c r="E42" s="122" t="s">
        <v>256</v>
      </c>
      <c r="F42" s="132"/>
      <c r="G42" s="123"/>
      <c r="H42" s="123"/>
      <c r="I42" s="123"/>
      <c r="J42" s="123"/>
      <c r="K42" s="123"/>
      <c r="L42" s="123"/>
    </row>
    <row r="43" spans="2:12" ht="30" customHeight="1" x14ac:dyDescent="0.25">
      <c r="B43" s="147" t="str">
        <f t="shared" si="9"/>
        <v>MMap</v>
      </c>
      <c r="C43" s="148">
        <f>IF(ISTEXT(D43),MAX($C$9:$C41)+1,"")</f>
        <v>39</v>
      </c>
      <c r="D43" s="149" t="s">
        <v>10</v>
      </c>
      <c r="E43" s="175" t="s">
        <v>257</v>
      </c>
      <c r="F43" s="202" t="s">
        <v>43</v>
      </c>
      <c r="G43" s="253"/>
      <c r="H43" s="255"/>
      <c r="I43" s="229">
        <f t="shared" si="7"/>
        <v>2</v>
      </c>
      <c r="J43" s="230">
        <f t="shared" si="8"/>
        <v>0</v>
      </c>
      <c r="K43" s="231">
        <f t="shared" si="10"/>
        <v>0</v>
      </c>
      <c r="L43" s="65"/>
    </row>
    <row r="44" spans="2:12" ht="30" customHeight="1" x14ac:dyDescent="0.25">
      <c r="B44" s="147" t="str">
        <f t="shared" si="9"/>
        <v>MMap</v>
      </c>
      <c r="C44" s="148">
        <f>IF(ISTEXT(D44),MAX($C$9:$C43)+1,"")</f>
        <v>40</v>
      </c>
      <c r="D44" s="149" t="s">
        <v>9</v>
      </c>
      <c r="E44" s="176" t="s">
        <v>258</v>
      </c>
      <c r="F44" s="196" t="s">
        <v>43</v>
      </c>
      <c r="G44" s="227"/>
      <c r="H44" s="232"/>
      <c r="I44" s="249">
        <f t="shared" si="7"/>
        <v>3</v>
      </c>
      <c r="J44" s="237">
        <f t="shared" si="8"/>
        <v>0</v>
      </c>
      <c r="K44" s="233">
        <f t="shared" si="10"/>
        <v>0</v>
      </c>
      <c r="L44" s="62"/>
    </row>
    <row r="45" spans="2:12" ht="30" customHeight="1" x14ac:dyDescent="0.25">
      <c r="B45" s="147" t="str">
        <f t="shared" si="9"/>
        <v>MMap</v>
      </c>
      <c r="C45" s="148">
        <f>IF(ISTEXT(D45),MAX($C$9:$C44)+1,"")</f>
        <v>41</v>
      </c>
      <c r="D45" s="149" t="s">
        <v>9</v>
      </c>
      <c r="E45" s="176" t="s">
        <v>259</v>
      </c>
      <c r="F45" s="202" t="s">
        <v>43</v>
      </c>
      <c r="G45" s="227"/>
      <c r="H45" s="232"/>
      <c r="I45" s="249">
        <f t="shared" si="7"/>
        <v>3</v>
      </c>
      <c r="J45" s="237">
        <f t="shared" si="8"/>
        <v>0</v>
      </c>
      <c r="K45" s="233">
        <f t="shared" si="10"/>
        <v>0</v>
      </c>
      <c r="L45" s="65"/>
    </row>
    <row r="46" spans="2:12" ht="30" customHeight="1" x14ac:dyDescent="0.25">
      <c r="B46" s="147" t="str">
        <f t="shared" si="9"/>
        <v>MMap</v>
      </c>
      <c r="C46" s="148">
        <f>IF(ISTEXT(D46),MAX($C$9:$C45)+1,"")</f>
        <v>42</v>
      </c>
      <c r="D46" s="149" t="s">
        <v>10</v>
      </c>
      <c r="E46" s="176" t="s">
        <v>260</v>
      </c>
      <c r="F46" s="196" t="s">
        <v>43</v>
      </c>
      <c r="G46" s="227"/>
      <c r="H46" s="232"/>
      <c r="I46" s="249">
        <f t="shared" si="7"/>
        <v>2</v>
      </c>
      <c r="J46" s="237">
        <f t="shared" si="8"/>
        <v>0</v>
      </c>
      <c r="K46" s="233">
        <f t="shared" si="10"/>
        <v>0</v>
      </c>
      <c r="L46" s="62"/>
    </row>
    <row r="47" spans="2:12" ht="30" customHeight="1" x14ac:dyDescent="0.25">
      <c r="B47" s="147" t="str">
        <f t="shared" si="9"/>
        <v>MMap</v>
      </c>
      <c r="C47" s="148">
        <f>IF(ISTEXT(D47),MAX($C$9:$C46)+1,"")</f>
        <v>43</v>
      </c>
      <c r="D47" s="149" t="s">
        <v>11</v>
      </c>
      <c r="E47" s="176" t="s">
        <v>261</v>
      </c>
      <c r="F47" s="202" t="s">
        <v>43</v>
      </c>
      <c r="G47" s="227"/>
      <c r="H47" s="232"/>
      <c r="I47" s="249">
        <f t="shared" si="7"/>
        <v>1</v>
      </c>
      <c r="J47" s="237">
        <f t="shared" si="8"/>
        <v>0</v>
      </c>
      <c r="K47" s="233">
        <f t="shared" si="10"/>
        <v>0</v>
      </c>
      <c r="L47" s="65"/>
    </row>
    <row r="48" spans="2:12" ht="30" customHeight="1" x14ac:dyDescent="0.25">
      <c r="B48" s="147" t="str">
        <f t="shared" si="9"/>
        <v>MMap</v>
      </c>
      <c r="C48" s="148">
        <f>IF(ISTEXT(D48),MAX($C$9:$C47)+1,"")</f>
        <v>44</v>
      </c>
      <c r="D48" s="149" t="s">
        <v>9</v>
      </c>
      <c r="E48" s="176" t="s">
        <v>262</v>
      </c>
      <c r="F48" s="196" t="s">
        <v>43</v>
      </c>
      <c r="G48" s="227"/>
      <c r="H48" s="232"/>
      <c r="I48" s="249">
        <f t="shared" si="7"/>
        <v>3</v>
      </c>
      <c r="J48" s="237">
        <f t="shared" si="8"/>
        <v>0</v>
      </c>
      <c r="K48" s="233">
        <f t="shared" si="10"/>
        <v>0</v>
      </c>
      <c r="L48" s="62"/>
    </row>
    <row r="49" spans="2:12" ht="30" customHeight="1" x14ac:dyDescent="0.25">
      <c r="B49" s="147" t="str">
        <f t="shared" ref="B49:B61" si="11">IF(C49="","",$B$4)</f>
        <v>MMap</v>
      </c>
      <c r="C49" s="148">
        <f>IF(ISTEXT(D49),MAX($C$9:$C48)+1,"")</f>
        <v>45</v>
      </c>
      <c r="D49" s="149" t="s">
        <v>11</v>
      </c>
      <c r="E49" s="176" t="s">
        <v>263</v>
      </c>
      <c r="F49" s="202" t="s">
        <v>43</v>
      </c>
      <c r="G49" s="227"/>
      <c r="H49" s="232"/>
      <c r="I49" s="249">
        <f t="shared" si="7"/>
        <v>1</v>
      </c>
      <c r="J49" s="237">
        <f t="shared" si="8"/>
        <v>0</v>
      </c>
      <c r="K49" s="233">
        <f t="shared" ref="K49:K61" si="12">I49*J49</f>
        <v>0</v>
      </c>
      <c r="L49" s="65"/>
    </row>
    <row r="50" spans="2:12" ht="30" customHeight="1" x14ac:dyDescent="0.25">
      <c r="B50" s="147" t="str">
        <f t="shared" si="11"/>
        <v>MMap</v>
      </c>
      <c r="C50" s="148">
        <f>IF(ISTEXT(D50),MAX($C$9:$C49)+1,"")</f>
        <v>46</v>
      </c>
      <c r="D50" s="149" t="s">
        <v>11</v>
      </c>
      <c r="E50" s="176" t="s">
        <v>264</v>
      </c>
      <c r="F50" s="196" t="s">
        <v>43</v>
      </c>
      <c r="G50" s="227"/>
      <c r="H50" s="232"/>
      <c r="I50" s="249">
        <f t="shared" si="7"/>
        <v>1</v>
      </c>
      <c r="J50" s="237">
        <f t="shared" si="8"/>
        <v>0</v>
      </c>
      <c r="K50" s="233">
        <f t="shared" si="12"/>
        <v>0</v>
      </c>
      <c r="L50" s="62"/>
    </row>
    <row r="51" spans="2:12" ht="30" customHeight="1" x14ac:dyDescent="0.25">
      <c r="B51" s="147" t="str">
        <f t="shared" si="11"/>
        <v>MMap</v>
      </c>
      <c r="C51" s="148">
        <f>IF(ISTEXT(D51),MAX($C$9:$C50)+1,"")</f>
        <v>47</v>
      </c>
      <c r="D51" s="149" t="s">
        <v>11</v>
      </c>
      <c r="E51" s="176" t="s">
        <v>265</v>
      </c>
      <c r="F51" s="202" t="s">
        <v>43</v>
      </c>
      <c r="G51" s="227"/>
      <c r="H51" s="232"/>
      <c r="I51" s="249">
        <f t="shared" si="7"/>
        <v>1</v>
      </c>
      <c r="J51" s="237">
        <f t="shared" si="8"/>
        <v>0</v>
      </c>
      <c r="K51" s="233">
        <f t="shared" si="12"/>
        <v>0</v>
      </c>
      <c r="L51" s="65"/>
    </row>
    <row r="52" spans="2:12" ht="30" customHeight="1" x14ac:dyDescent="0.25">
      <c r="B52" s="147" t="str">
        <f t="shared" si="11"/>
        <v>MMap</v>
      </c>
      <c r="C52" s="148">
        <f>IF(ISTEXT(D52),MAX($C$9:$C51)+1,"")</f>
        <v>48</v>
      </c>
      <c r="D52" s="149" t="s">
        <v>10</v>
      </c>
      <c r="E52" s="176" t="s">
        <v>266</v>
      </c>
      <c r="F52" s="196" t="s">
        <v>43</v>
      </c>
      <c r="G52" s="227"/>
      <c r="H52" s="232"/>
      <c r="I52" s="249">
        <f t="shared" si="7"/>
        <v>2</v>
      </c>
      <c r="J52" s="237">
        <f t="shared" si="8"/>
        <v>0</v>
      </c>
      <c r="K52" s="233">
        <f t="shared" si="12"/>
        <v>0</v>
      </c>
      <c r="L52" s="62"/>
    </row>
    <row r="53" spans="2:12" ht="30" customHeight="1" x14ac:dyDescent="0.25">
      <c r="B53" s="147" t="str">
        <f t="shared" si="11"/>
        <v>MMap</v>
      </c>
      <c r="C53" s="148">
        <f>IF(ISTEXT(D53),MAX($C$9:$C52)+1,"")</f>
        <v>49</v>
      </c>
      <c r="D53" s="149" t="s">
        <v>10</v>
      </c>
      <c r="E53" s="176" t="s">
        <v>267</v>
      </c>
      <c r="F53" s="202" t="s">
        <v>43</v>
      </c>
      <c r="G53" s="227"/>
      <c r="H53" s="232"/>
      <c r="I53" s="249">
        <f t="shared" si="7"/>
        <v>2</v>
      </c>
      <c r="J53" s="237">
        <f t="shared" si="8"/>
        <v>0</v>
      </c>
      <c r="K53" s="233">
        <f t="shared" si="12"/>
        <v>0</v>
      </c>
      <c r="L53" s="65"/>
    </row>
    <row r="54" spans="2:12" ht="30" customHeight="1" x14ac:dyDescent="0.25">
      <c r="B54" s="147" t="str">
        <f t="shared" si="11"/>
        <v>MMap</v>
      </c>
      <c r="C54" s="148">
        <f>IF(ISTEXT(D54),MAX($C$9:$C53)+1,"")</f>
        <v>50</v>
      </c>
      <c r="D54" s="149" t="s">
        <v>9</v>
      </c>
      <c r="E54" s="172" t="s">
        <v>268</v>
      </c>
      <c r="F54" s="196" t="s">
        <v>43</v>
      </c>
      <c r="G54" s="227"/>
      <c r="H54" s="232"/>
      <c r="I54" s="249">
        <f t="shared" si="7"/>
        <v>3</v>
      </c>
      <c r="J54" s="237">
        <f t="shared" si="8"/>
        <v>0</v>
      </c>
      <c r="K54" s="233">
        <f t="shared" si="12"/>
        <v>0</v>
      </c>
      <c r="L54" s="62"/>
    </row>
    <row r="55" spans="2:12" ht="30" customHeight="1" x14ac:dyDescent="0.25">
      <c r="B55" s="147" t="str">
        <f t="shared" si="11"/>
        <v>MMap</v>
      </c>
      <c r="C55" s="148">
        <f>IF(ISTEXT(D55),MAX($C$9:$C54)+1,"")</f>
        <v>51</v>
      </c>
      <c r="D55" s="149" t="s">
        <v>9</v>
      </c>
      <c r="E55" s="172" t="s">
        <v>269</v>
      </c>
      <c r="F55" s="202" t="s">
        <v>43</v>
      </c>
      <c r="G55" s="227"/>
      <c r="H55" s="232"/>
      <c r="I55" s="249">
        <f t="shared" si="7"/>
        <v>3</v>
      </c>
      <c r="J55" s="237">
        <f t="shared" si="8"/>
        <v>0</v>
      </c>
      <c r="K55" s="233">
        <f t="shared" si="12"/>
        <v>0</v>
      </c>
      <c r="L55" s="65"/>
    </row>
    <row r="56" spans="2:12" ht="30" customHeight="1" x14ac:dyDescent="0.25">
      <c r="B56" s="147" t="str">
        <f t="shared" si="11"/>
        <v>MMap</v>
      </c>
      <c r="C56" s="148">
        <f>IF(ISTEXT(D56),MAX($C$9:$C55)+1,"")</f>
        <v>52</v>
      </c>
      <c r="D56" s="149" t="s">
        <v>9</v>
      </c>
      <c r="E56" s="172" t="s">
        <v>270</v>
      </c>
      <c r="F56" s="196" t="s">
        <v>43</v>
      </c>
      <c r="G56" s="227"/>
      <c r="H56" s="232"/>
      <c r="I56" s="249">
        <f t="shared" si="7"/>
        <v>3</v>
      </c>
      <c r="J56" s="237">
        <f t="shared" si="8"/>
        <v>0</v>
      </c>
      <c r="K56" s="233">
        <f t="shared" si="12"/>
        <v>0</v>
      </c>
      <c r="L56" s="62"/>
    </row>
    <row r="57" spans="2:12" ht="30" customHeight="1" x14ac:dyDescent="0.25">
      <c r="B57" s="147" t="str">
        <f t="shared" si="11"/>
        <v>MMap</v>
      </c>
      <c r="C57" s="148">
        <f>IF(ISTEXT(D57),MAX($C$9:$C56)+1,"")</f>
        <v>53</v>
      </c>
      <c r="D57" s="149" t="s">
        <v>9</v>
      </c>
      <c r="E57" s="172" t="s">
        <v>271</v>
      </c>
      <c r="F57" s="202" t="s">
        <v>43</v>
      </c>
      <c r="G57" s="227"/>
      <c r="H57" s="232"/>
      <c r="I57" s="249">
        <f t="shared" si="7"/>
        <v>3</v>
      </c>
      <c r="J57" s="237">
        <f t="shared" si="8"/>
        <v>0</v>
      </c>
      <c r="K57" s="233">
        <f t="shared" si="12"/>
        <v>0</v>
      </c>
      <c r="L57" s="65"/>
    </row>
    <row r="58" spans="2:12" ht="30" customHeight="1" x14ac:dyDescent="0.25">
      <c r="B58" s="147" t="str">
        <f t="shared" si="11"/>
        <v>MMap</v>
      </c>
      <c r="C58" s="148">
        <f>IF(ISTEXT(D58),MAX($C$9:$C57)+1,"")</f>
        <v>54</v>
      </c>
      <c r="D58" s="149" t="s">
        <v>10</v>
      </c>
      <c r="E58" s="172" t="s">
        <v>272</v>
      </c>
      <c r="F58" s="196" t="s">
        <v>43</v>
      </c>
      <c r="G58" s="227"/>
      <c r="H58" s="232"/>
      <c r="I58" s="249">
        <f t="shared" si="7"/>
        <v>2</v>
      </c>
      <c r="J58" s="237">
        <f t="shared" si="8"/>
        <v>0</v>
      </c>
      <c r="K58" s="233">
        <f t="shared" si="12"/>
        <v>0</v>
      </c>
      <c r="L58" s="62"/>
    </row>
    <row r="59" spans="2:12" ht="30" customHeight="1" x14ac:dyDescent="0.25">
      <c r="B59" s="147" t="str">
        <f t="shared" si="11"/>
        <v>MMap</v>
      </c>
      <c r="C59" s="148">
        <f>IF(ISTEXT(D59),MAX($C$9:$C58)+1,"")</f>
        <v>55</v>
      </c>
      <c r="D59" s="149" t="s">
        <v>9</v>
      </c>
      <c r="E59" s="172" t="s">
        <v>273</v>
      </c>
      <c r="F59" s="202" t="s">
        <v>43</v>
      </c>
      <c r="G59" s="227"/>
      <c r="H59" s="232"/>
      <c r="I59" s="249">
        <f t="shared" si="7"/>
        <v>3</v>
      </c>
      <c r="J59" s="237">
        <f t="shared" si="8"/>
        <v>0</v>
      </c>
      <c r="K59" s="233">
        <f t="shared" si="12"/>
        <v>0</v>
      </c>
      <c r="L59" s="65"/>
    </row>
    <row r="60" spans="2:12" ht="30" customHeight="1" x14ac:dyDescent="0.25">
      <c r="B60" s="147" t="str">
        <f t="shared" si="11"/>
        <v>MMap</v>
      </c>
      <c r="C60" s="148">
        <f>IF(ISTEXT(D60),MAX($C$9:$C59)+1,"")</f>
        <v>56</v>
      </c>
      <c r="D60" s="149" t="s">
        <v>10</v>
      </c>
      <c r="E60" s="172" t="s">
        <v>274</v>
      </c>
      <c r="F60" s="196" t="s">
        <v>43</v>
      </c>
      <c r="G60" s="227"/>
      <c r="H60" s="232"/>
      <c r="I60" s="249">
        <f t="shared" si="7"/>
        <v>2</v>
      </c>
      <c r="J60" s="237">
        <f t="shared" si="8"/>
        <v>0</v>
      </c>
      <c r="K60" s="233">
        <f t="shared" si="12"/>
        <v>0</v>
      </c>
      <c r="L60" s="62"/>
    </row>
    <row r="61" spans="2:12" ht="30" customHeight="1" x14ac:dyDescent="0.25">
      <c r="B61" s="147" t="str">
        <f t="shared" si="11"/>
        <v>MMap</v>
      </c>
      <c r="C61" s="148">
        <f>IF(ISTEXT(D61),MAX($C$9:$C60)+1,"")</f>
        <v>57</v>
      </c>
      <c r="D61" s="149" t="s">
        <v>9</v>
      </c>
      <c r="E61" s="172" t="s">
        <v>410</v>
      </c>
      <c r="F61" s="202" t="s">
        <v>43</v>
      </c>
      <c r="G61" s="227"/>
      <c r="H61" s="232"/>
      <c r="I61" s="249">
        <f t="shared" si="7"/>
        <v>3</v>
      </c>
      <c r="J61" s="237">
        <f t="shared" si="8"/>
        <v>0</v>
      </c>
      <c r="K61" s="233">
        <f t="shared" si="12"/>
        <v>0</v>
      </c>
      <c r="L61" s="65"/>
    </row>
    <row r="62" spans="2:12" ht="30" customHeight="1" x14ac:dyDescent="0.25">
      <c r="B62" s="147" t="str">
        <f t="shared" ref="B62:B88" si="13">IF(C62="","",$B$4)</f>
        <v>MMap</v>
      </c>
      <c r="C62" s="148">
        <f>IF(ISTEXT(D62),MAX($C$9:$C61)+1,"")</f>
        <v>58</v>
      </c>
      <c r="D62" s="149" t="s">
        <v>9</v>
      </c>
      <c r="E62" s="172" t="s">
        <v>411</v>
      </c>
      <c r="F62" s="196" t="s">
        <v>43</v>
      </c>
      <c r="G62" s="227"/>
      <c r="H62" s="232"/>
      <c r="I62" s="249">
        <f t="shared" si="7"/>
        <v>3</v>
      </c>
      <c r="J62" s="237">
        <f t="shared" si="8"/>
        <v>0</v>
      </c>
      <c r="K62" s="233">
        <f t="shared" ref="K62:K88" si="14">I62*J62</f>
        <v>0</v>
      </c>
      <c r="L62" s="65"/>
    </row>
    <row r="63" spans="2:12" ht="30" customHeight="1" x14ac:dyDescent="0.25">
      <c r="B63" s="147" t="str">
        <f t="shared" si="13"/>
        <v>MMap</v>
      </c>
      <c r="C63" s="148">
        <f>IF(ISTEXT(D63),MAX($C$9:$C62)+1,"")</f>
        <v>59</v>
      </c>
      <c r="D63" s="149" t="s">
        <v>10</v>
      </c>
      <c r="E63" s="172" t="s">
        <v>412</v>
      </c>
      <c r="F63" s="202" t="s">
        <v>43</v>
      </c>
      <c r="G63" s="227"/>
      <c r="H63" s="232"/>
      <c r="I63" s="249">
        <f t="shared" si="7"/>
        <v>2</v>
      </c>
      <c r="J63" s="237">
        <f t="shared" si="8"/>
        <v>0</v>
      </c>
      <c r="K63" s="233">
        <f t="shared" si="14"/>
        <v>0</v>
      </c>
      <c r="L63" s="62"/>
    </row>
    <row r="64" spans="2:12" ht="30" customHeight="1" x14ac:dyDescent="0.25">
      <c r="B64" s="147" t="str">
        <f t="shared" si="13"/>
        <v>MMap</v>
      </c>
      <c r="C64" s="148">
        <f>IF(ISTEXT(D64),MAX($C$9:$C63)+1,"")</f>
        <v>60</v>
      </c>
      <c r="D64" s="149" t="s">
        <v>10</v>
      </c>
      <c r="E64" s="172" t="s">
        <v>413</v>
      </c>
      <c r="F64" s="196" t="s">
        <v>43</v>
      </c>
      <c r="G64" s="227"/>
      <c r="H64" s="232"/>
      <c r="I64" s="249">
        <f t="shared" si="7"/>
        <v>2</v>
      </c>
      <c r="J64" s="237">
        <f t="shared" si="8"/>
        <v>0</v>
      </c>
      <c r="K64" s="233">
        <f t="shared" si="14"/>
        <v>0</v>
      </c>
      <c r="L64" s="62"/>
    </row>
    <row r="65" spans="2:12" ht="30" customHeight="1" x14ac:dyDescent="0.25">
      <c r="B65" s="147" t="str">
        <f t="shared" si="13"/>
        <v>MMap</v>
      </c>
      <c r="C65" s="148">
        <f>IF(ISTEXT(D65),MAX($C$9:$C64)+1,"")</f>
        <v>61</v>
      </c>
      <c r="D65" s="149" t="s">
        <v>10</v>
      </c>
      <c r="E65" s="172" t="s">
        <v>414</v>
      </c>
      <c r="F65" s="202" t="s">
        <v>43</v>
      </c>
      <c r="G65" s="227"/>
      <c r="H65" s="232"/>
      <c r="I65" s="249">
        <f t="shared" si="7"/>
        <v>2</v>
      </c>
      <c r="J65" s="237">
        <f t="shared" si="8"/>
        <v>0</v>
      </c>
      <c r="K65" s="233">
        <f t="shared" si="14"/>
        <v>0</v>
      </c>
      <c r="L65" s="62"/>
    </row>
    <row r="66" spans="2:12" ht="30" customHeight="1" x14ac:dyDescent="0.25">
      <c r="B66" s="147" t="str">
        <f t="shared" si="13"/>
        <v>MMap</v>
      </c>
      <c r="C66" s="148">
        <f>IF(ISTEXT(D66),MAX($C$9:$C65)+1,"")</f>
        <v>62</v>
      </c>
      <c r="D66" s="149" t="s">
        <v>10</v>
      </c>
      <c r="E66" s="172" t="s">
        <v>415</v>
      </c>
      <c r="F66" s="196" t="s">
        <v>43</v>
      </c>
      <c r="G66" s="227"/>
      <c r="H66" s="232"/>
      <c r="I66" s="249">
        <f t="shared" si="7"/>
        <v>2</v>
      </c>
      <c r="J66" s="237">
        <f t="shared" si="8"/>
        <v>0</v>
      </c>
      <c r="K66" s="233">
        <f t="shared" si="14"/>
        <v>0</v>
      </c>
      <c r="L66" s="62"/>
    </row>
    <row r="67" spans="2:12" ht="30" customHeight="1" x14ac:dyDescent="0.25">
      <c r="B67" s="147" t="str">
        <f t="shared" si="13"/>
        <v>MMap</v>
      </c>
      <c r="C67" s="148">
        <f>IF(ISTEXT(D67),MAX($C$9:$C66)+1,"")</f>
        <v>63</v>
      </c>
      <c r="D67" s="149" t="s">
        <v>11</v>
      </c>
      <c r="E67" s="172" t="s">
        <v>275</v>
      </c>
      <c r="F67" s="202" t="s">
        <v>43</v>
      </c>
      <c r="G67" s="227"/>
      <c r="H67" s="232"/>
      <c r="I67" s="249">
        <f t="shared" si="7"/>
        <v>1</v>
      </c>
      <c r="J67" s="237">
        <f t="shared" si="8"/>
        <v>0</v>
      </c>
      <c r="K67" s="233">
        <f t="shared" si="14"/>
        <v>0</v>
      </c>
      <c r="L67" s="62"/>
    </row>
    <row r="68" spans="2:12" ht="30" customHeight="1" x14ac:dyDescent="0.25">
      <c r="B68" s="147" t="str">
        <f t="shared" si="13"/>
        <v>MMap</v>
      </c>
      <c r="C68" s="148">
        <f>IF(ISTEXT(D68),MAX($C$9:$C67)+1,"")</f>
        <v>64</v>
      </c>
      <c r="D68" s="149" t="s">
        <v>10</v>
      </c>
      <c r="E68" s="172" t="s">
        <v>276</v>
      </c>
      <c r="F68" s="196" t="s">
        <v>43</v>
      </c>
      <c r="G68" s="227"/>
      <c r="H68" s="232"/>
      <c r="I68" s="249">
        <f t="shared" si="7"/>
        <v>2</v>
      </c>
      <c r="J68" s="237">
        <f t="shared" si="8"/>
        <v>0</v>
      </c>
      <c r="K68" s="233">
        <f t="shared" si="14"/>
        <v>0</v>
      </c>
      <c r="L68" s="62"/>
    </row>
    <row r="69" spans="2:12" ht="30" customHeight="1" x14ac:dyDescent="0.25">
      <c r="B69" s="147" t="str">
        <f t="shared" si="13"/>
        <v>MMap</v>
      </c>
      <c r="C69" s="148">
        <f>IF(ISTEXT(D69),MAX($C$9:$C68)+1,"")</f>
        <v>65</v>
      </c>
      <c r="D69" s="149" t="s">
        <v>10</v>
      </c>
      <c r="E69" s="172" t="s">
        <v>277</v>
      </c>
      <c r="F69" s="202" t="s">
        <v>43</v>
      </c>
      <c r="G69" s="253"/>
      <c r="H69" s="255"/>
      <c r="I69" s="229">
        <f t="shared" si="7"/>
        <v>2</v>
      </c>
      <c r="J69" s="230">
        <f t="shared" si="8"/>
        <v>0</v>
      </c>
      <c r="K69" s="231">
        <f t="shared" si="14"/>
        <v>0</v>
      </c>
      <c r="L69" s="62"/>
    </row>
    <row r="70" spans="2:12" ht="30" customHeight="1" x14ac:dyDescent="0.25">
      <c r="B70" s="147" t="str">
        <f t="shared" si="13"/>
        <v>MMap</v>
      </c>
      <c r="C70" s="148">
        <f>IF(ISTEXT(D70),MAX($C$9:$C69)+1,"")</f>
        <v>66</v>
      </c>
      <c r="D70" s="149" t="s">
        <v>10</v>
      </c>
      <c r="E70" s="172" t="s">
        <v>278</v>
      </c>
      <c r="F70" s="196" t="s">
        <v>43</v>
      </c>
      <c r="G70" s="227"/>
      <c r="H70" s="232"/>
      <c r="I70" s="249">
        <f t="shared" si="7"/>
        <v>2</v>
      </c>
      <c r="J70" s="237">
        <f t="shared" si="8"/>
        <v>0</v>
      </c>
      <c r="K70" s="233">
        <f t="shared" si="14"/>
        <v>0</v>
      </c>
      <c r="L70" s="62"/>
    </row>
    <row r="71" spans="2:12" ht="30" customHeight="1" x14ac:dyDescent="0.25">
      <c r="B71" s="147" t="str">
        <f t="shared" si="13"/>
        <v>MMap</v>
      </c>
      <c r="C71" s="148">
        <f>IF(ISTEXT(D71),MAX($C$9:$C70)+1,"")</f>
        <v>67</v>
      </c>
      <c r="D71" s="149" t="s">
        <v>10</v>
      </c>
      <c r="E71" s="172" t="s">
        <v>416</v>
      </c>
      <c r="F71" s="202" t="s">
        <v>43</v>
      </c>
      <c r="G71" s="235"/>
      <c r="H71" s="250"/>
      <c r="I71" s="251">
        <f t="shared" si="7"/>
        <v>2</v>
      </c>
      <c r="J71" s="252">
        <f t="shared" si="8"/>
        <v>0</v>
      </c>
      <c r="K71" s="238">
        <f t="shared" si="14"/>
        <v>0</v>
      </c>
      <c r="L71" s="66"/>
    </row>
    <row r="72" spans="2:12" ht="30" customHeight="1" x14ac:dyDescent="0.25">
      <c r="B72" s="160" t="str">
        <f t="shared" si="13"/>
        <v/>
      </c>
      <c r="C72" s="177" t="str">
        <f>IF(ISTEXT(D72),MAX($C$9:$C71)+1,"")</f>
        <v/>
      </c>
      <c r="D72" s="121"/>
      <c r="E72" s="178" t="s">
        <v>279</v>
      </c>
      <c r="F72" s="132"/>
      <c r="G72" s="123"/>
      <c r="H72" s="123"/>
      <c r="I72" s="123"/>
      <c r="J72" s="123"/>
      <c r="K72" s="123"/>
      <c r="L72" s="123"/>
    </row>
    <row r="73" spans="2:12" ht="30" customHeight="1" x14ac:dyDescent="0.25">
      <c r="B73" s="147" t="str">
        <f t="shared" si="13"/>
        <v>MMap</v>
      </c>
      <c r="C73" s="148">
        <f>IF(ISTEXT(D73),MAX($C$9:$C71)+1,"")</f>
        <v>68</v>
      </c>
      <c r="D73" s="149" t="s">
        <v>9</v>
      </c>
      <c r="E73" s="175" t="s">
        <v>280</v>
      </c>
      <c r="F73" s="202" t="s">
        <v>43</v>
      </c>
      <c r="G73" s="253"/>
      <c r="H73" s="255"/>
      <c r="I73" s="229">
        <f t="shared" si="7"/>
        <v>3</v>
      </c>
      <c r="J73" s="230">
        <f t="shared" si="8"/>
        <v>0</v>
      </c>
      <c r="K73" s="231">
        <f t="shared" si="14"/>
        <v>0</v>
      </c>
      <c r="L73" s="65"/>
    </row>
    <row r="74" spans="2:12" ht="30" customHeight="1" x14ac:dyDescent="0.25">
      <c r="B74" s="147" t="str">
        <f t="shared" si="13"/>
        <v>MMap</v>
      </c>
      <c r="C74" s="148">
        <f>IF(ISTEXT(D74),MAX($C$9:$C73)+1,"")</f>
        <v>69</v>
      </c>
      <c r="D74" s="149" t="s">
        <v>9</v>
      </c>
      <c r="E74" s="176" t="s">
        <v>281</v>
      </c>
      <c r="F74" s="196" t="s">
        <v>43</v>
      </c>
      <c r="G74" s="227"/>
      <c r="H74" s="232"/>
      <c r="I74" s="249">
        <f t="shared" si="7"/>
        <v>3</v>
      </c>
      <c r="J74" s="237">
        <f t="shared" si="8"/>
        <v>0</v>
      </c>
      <c r="K74" s="233">
        <f t="shared" si="14"/>
        <v>0</v>
      </c>
      <c r="L74" s="62"/>
    </row>
    <row r="75" spans="2:12" ht="30" customHeight="1" x14ac:dyDescent="0.25">
      <c r="B75" s="147" t="str">
        <f t="shared" si="13"/>
        <v>MMap</v>
      </c>
      <c r="C75" s="148">
        <f>IF(ISTEXT(D75),MAX($C$9:$C74)+1,"")</f>
        <v>70</v>
      </c>
      <c r="D75" s="149" t="s">
        <v>9</v>
      </c>
      <c r="E75" s="175" t="s">
        <v>282</v>
      </c>
      <c r="F75" s="202" t="s">
        <v>43</v>
      </c>
      <c r="G75" s="227"/>
      <c r="H75" s="232"/>
      <c r="I75" s="249">
        <f t="shared" si="7"/>
        <v>3</v>
      </c>
      <c r="J75" s="237">
        <f t="shared" si="8"/>
        <v>0</v>
      </c>
      <c r="K75" s="233">
        <f t="shared" si="14"/>
        <v>0</v>
      </c>
      <c r="L75" s="62"/>
    </row>
    <row r="76" spans="2:12" ht="30" customHeight="1" x14ac:dyDescent="0.25">
      <c r="B76" s="147" t="str">
        <f t="shared" si="13"/>
        <v>MMap</v>
      </c>
      <c r="C76" s="148">
        <f>IF(ISTEXT(D76),MAX($C$9:$C75)+1,"")</f>
        <v>71</v>
      </c>
      <c r="D76" s="149" t="s">
        <v>9</v>
      </c>
      <c r="E76" s="176" t="s">
        <v>283</v>
      </c>
      <c r="F76" s="196" t="s">
        <v>43</v>
      </c>
      <c r="G76" s="253"/>
      <c r="H76" s="255"/>
      <c r="I76" s="229">
        <f t="shared" si="7"/>
        <v>3</v>
      </c>
      <c r="J76" s="230">
        <f t="shared" si="8"/>
        <v>0</v>
      </c>
      <c r="K76" s="231">
        <f t="shared" si="14"/>
        <v>0</v>
      </c>
      <c r="L76" s="65"/>
    </row>
    <row r="77" spans="2:12" ht="30" customHeight="1" x14ac:dyDescent="0.25">
      <c r="B77" s="147" t="str">
        <f t="shared" si="13"/>
        <v>MMap</v>
      </c>
      <c r="C77" s="148">
        <f>IF(ISTEXT(D77),MAX($C$9:$C76)+1,"")</f>
        <v>72</v>
      </c>
      <c r="D77" s="149" t="s">
        <v>9</v>
      </c>
      <c r="E77" s="176" t="s">
        <v>284</v>
      </c>
      <c r="F77" s="202" t="s">
        <v>43</v>
      </c>
      <c r="G77" s="227"/>
      <c r="H77" s="232"/>
      <c r="I77" s="249">
        <f t="shared" si="7"/>
        <v>3</v>
      </c>
      <c r="J77" s="237">
        <f t="shared" si="8"/>
        <v>0</v>
      </c>
      <c r="K77" s="233">
        <f t="shared" si="14"/>
        <v>0</v>
      </c>
      <c r="L77" s="62"/>
    </row>
    <row r="78" spans="2:12" ht="30" customHeight="1" x14ac:dyDescent="0.25">
      <c r="B78" s="147" t="str">
        <f t="shared" si="13"/>
        <v>MMap</v>
      </c>
      <c r="C78" s="148">
        <f>IF(ISTEXT(D78),MAX($C$9:$C77)+1,"")</f>
        <v>73</v>
      </c>
      <c r="D78" s="149" t="s">
        <v>9</v>
      </c>
      <c r="E78" s="176" t="s">
        <v>285</v>
      </c>
      <c r="F78" s="196" t="s">
        <v>43</v>
      </c>
      <c r="G78" s="235"/>
      <c r="H78" s="250"/>
      <c r="I78" s="251">
        <f t="shared" si="7"/>
        <v>3</v>
      </c>
      <c r="J78" s="252">
        <f t="shared" si="8"/>
        <v>0</v>
      </c>
      <c r="K78" s="238">
        <f t="shared" si="14"/>
        <v>0</v>
      </c>
      <c r="L78" s="66"/>
    </row>
    <row r="79" spans="2:12" ht="30" customHeight="1" x14ac:dyDescent="0.25">
      <c r="B79" s="160" t="str">
        <f t="shared" ref="B79" si="15">IF(C79="","",$B$4)</f>
        <v/>
      </c>
      <c r="C79" s="121" t="str">
        <f>IF(ISTEXT(D79),MAX($C$9:$C78)+1,"")</f>
        <v/>
      </c>
      <c r="D79" s="121"/>
      <c r="E79" s="178" t="s">
        <v>286</v>
      </c>
      <c r="F79" s="132"/>
      <c r="G79" s="123"/>
      <c r="H79" s="123"/>
      <c r="I79" s="123"/>
      <c r="J79" s="123"/>
      <c r="K79" s="123"/>
      <c r="L79" s="123"/>
    </row>
    <row r="80" spans="2:12" ht="30" customHeight="1" x14ac:dyDescent="0.25">
      <c r="B80" s="147" t="str">
        <f t="shared" si="13"/>
        <v>MMap</v>
      </c>
      <c r="C80" s="148">
        <f>IF(ISTEXT(D80),MAX($C$9:$C78)+1,"")</f>
        <v>74</v>
      </c>
      <c r="D80" s="149" t="s">
        <v>9</v>
      </c>
      <c r="E80" s="176" t="s">
        <v>287</v>
      </c>
      <c r="F80" s="196" t="s">
        <v>43</v>
      </c>
      <c r="G80" s="253"/>
      <c r="H80" s="255"/>
      <c r="I80" s="229">
        <f t="shared" si="7"/>
        <v>3</v>
      </c>
      <c r="J80" s="230">
        <f t="shared" si="8"/>
        <v>0</v>
      </c>
      <c r="K80" s="231">
        <f t="shared" si="14"/>
        <v>0</v>
      </c>
      <c r="L80" s="65"/>
    </row>
    <row r="81" spans="2:12" ht="30" customHeight="1" x14ac:dyDescent="0.25">
      <c r="B81" s="147" t="str">
        <f t="shared" si="13"/>
        <v>MMap</v>
      </c>
      <c r="C81" s="148">
        <f>IF(ISTEXT(D81),MAX($C$9:$C80)+1,"")</f>
        <v>75</v>
      </c>
      <c r="D81" s="149" t="s">
        <v>9</v>
      </c>
      <c r="E81" s="176" t="s">
        <v>288</v>
      </c>
      <c r="F81" s="202" t="s">
        <v>43</v>
      </c>
      <c r="G81" s="227"/>
      <c r="H81" s="232"/>
      <c r="I81" s="249">
        <f t="shared" si="7"/>
        <v>3</v>
      </c>
      <c r="J81" s="237">
        <f t="shared" si="8"/>
        <v>0</v>
      </c>
      <c r="K81" s="233">
        <f t="shared" si="14"/>
        <v>0</v>
      </c>
      <c r="L81" s="62"/>
    </row>
    <row r="82" spans="2:12" ht="30" customHeight="1" x14ac:dyDescent="0.25">
      <c r="B82" s="147" t="str">
        <f t="shared" si="13"/>
        <v>MMap</v>
      </c>
      <c r="C82" s="148">
        <f>IF(ISTEXT(D82),MAX($C$9:$C81)+1,"")</f>
        <v>76</v>
      </c>
      <c r="D82" s="149" t="s">
        <v>10</v>
      </c>
      <c r="E82" s="176" t="s">
        <v>289</v>
      </c>
      <c r="F82" s="196" t="s">
        <v>43</v>
      </c>
      <c r="G82" s="227"/>
      <c r="H82" s="232"/>
      <c r="I82" s="249">
        <f t="shared" si="7"/>
        <v>2</v>
      </c>
      <c r="J82" s="237">
        <f t="shared" si="8"/>
        <v>0</v>
      </c>
      <c r="K82" s="233">
        <f t="shared" si="14"/>
        <v>0</v>
      </c>
      <c r="L82" s="62"/>
    </row>
    <row r="83" spans="2:12" ht="30" customHeight="1" x14ac:dyDescent="0.25">
      <c r="B83" s="147" t="str">
        <f t="shared" si="13"/>
        <v>MMap</v>
      </c>
      <c r="C83" s="148">
        <f>IF(ISTEXT(D83),MAX($C$9:$C82)+1,"")</f>
        <v>77</v>
      </c>
      <c r="D83" s="149" t="s">
        <v>10</v>
      </c>
      <c r="E83" s="175" t="s">
        <v>496</v>
      </c>
      <c r="F83" s="202" t="s">
        <v>43</v>
      </c>
      <c r="G83" s="227"/>
      <c r="H83" s="232"/>
      <c r="I83" s="249">
        <f t="shared" si="7"/>
        <v>2</v>
      </c>
      <c r="J83" s="237">
        <f t="shared" si="8"/>
        <v>0</v>
      </c>
      <c r="K83" s="233">
        <f t="shared" si="14"/>
        <v>0</v>
      </c>
      <c r="L83" s="65"/>
    </row>
    <row r="84" spans="2:12" ht="30" customHeight="1" x14ac:dyDescent="0.25">
      <c r="B84" s="147" t="str">
        <f t="shared" si="13"/>
        <v>MMap</v>
      </c>
      <c r="C84" s="148">
        <f>IF(ISTEXT(D84),MAX($C$9:$C83)+1,"")</f>
        <v>78</v>
      </c>
      <c r="D84" s="149" t="s">
        <v>9</v>
      </c>
      <c r="E84" s="175" t="s">
        <v>290</v>
      </c>
      <c r="F84" s="196" t="s">
        <v>43</v>
      </c>
      <c r="G84" s="227"/>
      <c r="H84" s="232"/>
      <c r="I84" s="249">
        <f t="shared" si="7"/>
        <v>3</v>
      </c>
      <c r="J84" s="237">
        <f t="shared" si="8"/>
        <v>0</v>
      </c>
      <c r="K84" s="233">
        <f t="shared" si="14"/>
        <v>0</v>
      </c>
      <c r="L84" s="62"/>
    </row>
    <row r="85" spans="2:12" ht="30" customHeight="1" x14ac:dyDescent="0.25">
      <c r="B85" s="147" t="str">
        <f t="shared" si="13"/>
        <v>MMap</v>
      </c>
      <c r="C85" s="148">
        <f>IF(ISTEXT(D85),MAX($C$9:$C84)+1,"")</f>
        <v>79</v>
      </c>
      <c r="D85" s="149" t="s">
        <v>10</v>
      </c>
      <c r="E85" s="179" t="s">
        <v>291</v>
      </c>
      <c r="F85" s="202" t="s">
        <v>43</v>
      </c>
      <c r="G85" s="227"/>
      <c r="H85" s="232"/>
      <c r="I85" s="249">
        <f t="shared" si="7"/>
        <v>2</v>
      </c>
      <c r="J85" s="237">
        <f t="shared" si="8"/>
        <v>0</v>
      </c>
      <c r="K85" s="233">
        <f t="shared" si="14"/>
        <v>0</v>
      </c>
      <c r="L85" s="62"/>
    </row>
    <row r="86" spans="2:12" ht="30" customHeight="1" x14ac:dyDescent="0.25">
      <c r="B86" s="147" t="str">
        <f t="shared" si="13"/>
        <v>MMap</v>
      </c>
      <c r="C86" s="148">
        <f>IF(ISTEXT(D86),MAX($C$9:$C85)+1,"")</f>
        <v>80</v>
      </c>
      <c r="D86" s="149" t="s">
        <v>10</v>
      </c>
      <c r="E86" s="180" t="s">
        <v>292</v>
      </c>
      <c r="F86" s="196" t="s">
        <v>43</v>
      </c>
      <c r="G86" s="227"/>
      <c r="H86" s="232"/>
      <c r="I86" s="249">
        <f t="shared" si="7"/>
        <v>2</v>
      </c>
      <c r="J86" s="237">
        <f t="shared" si="8"/>
        <v>0</v>
      </c>
      <c r="K86" s="233">
        <f t="shared" si="14"/>
        <v>0</v>
      </c>
      <c r="L86" s="65"/>
    </row>
    <row r="87" spans="2:12" ht="30" customHeight="1" x14ac:dyDescent="0.25">
      <c r="B87" s="147" t="str">
        <f t="shared" si="13"/>
        <v>MMap</v>
      </c>
      <c r="C87" s="148">
        <f>IF(ISTEXT(D87),MAX($C$9:$C86)+1,"")</f>
        <v>81</v>
      </c>
      <c r="D87" s="149" t="s">
        <v>9</v>
      </c>
      <c r="E87" s="180" t="s">
        <v>293</v>
      </c>
      <c r="F87" s="202" t="s">
        <v>43</v>
      </c>
      <c r="G87" s="227"/>
      <c r="H87" s="232"/>
      <c r="I87" s="249">
        <f t="shared" si="7"/>
        <v>3</v>
      </c>
      <c r="J87" s="237">
        <f t="shared" si="8"/>
        <v>0</v>
      </c>
      <c r="K87" s="233">
        <f t="shared" si="14"/>
        <v>0</v>
      </c>
      <c r="L87" s="62"/>
    </row>
    <row r="88" spans="2:12" ht="30" customHeight="1" thickBot="1" x14ac:dyDescent="0.3">
      <c r="B88" s="181" t="str">
        <f t="shared" si="13"/>
        <v>MMap</v>
      </c>
      <c r="C88" s="182">
        <f>IF(ISTEXT(D88),MAX($C$9:$C87)+1,"")</f>
        <v>82</v>
      </c>
      <c r="D88" s="149" t="s">
        <v>9</v>
      </c>
      <c r="E88" s="183" t="s">
        <v>497</v>
      </c>
      <c r="F88" s="256" t="s">
        <v>43</v>
      </c>
      <c r="G88" s="257"/>
      <c r="H88" s="258"/>
      <c r="I88" s="259">
        <f t="shared" si="7"/>
        <v>3</v>
      </c>
      <c r="J88" s="260">
        <f t="shared" si="8"/>
        <v>0</v>
      </c>
      <c r="K88" s="261">
        <f t="shared" si="14"/>
        <v>0</v>
      </c>
      <c r="L88" s="67"/>
    </row>
    <row r="89" spans="2:12" ht="6.75" customHeight="1" x14ac:dyDescent="0.25"/>
    <row r="90" spans="2:12" ht="7.5" hidden="1" customHeight="1" x14ac:dyDescent="0.25"/>
    <row r="91" spans="2:12" ht="7.5" hidden="1" customHeight="1" x14ac:dyDescent="0.25"/>
    <row r="92" spans="2:12" ht="7.5" hidden="1" customHeight="1" x14ac:dyDescent="0.25"/>
    <row r="93" spans="2:12" ht="7.5" hidden="1" customHeight="1" x14ac:dyDescent="0.25"/>
    <row r="94" spans="2:12" ht="7.5" hidden="1" customHeight="1" x14ac:dyDescent="0.25"/>
    <row r="95" spans="2:12" ht="7.5" hidden="1" customHeight="1" x14ac:dyDescent="0.25"/>
    <row r="96" spans="2:12" x14ac:dyDescent="0.25"/>
  </sheetData>
  <sheetProtection algorithmName="SHA-512" hashValue="o3XqDBFXMOLyyy/49xyP+v4luFx3lamjkx1nbzWNY0m5PmmhBoRKXOQIQozqG/H6iq/8PBfrRP+OQdBxdQvYAA==" saltValue="onMfRuNGwtVhqVBXJ7h0PQ==" spinCount="100000" sheet="1" selectLockedCells="1"/>
  <conditionalFormatting sqref="D4:D41">
    <cfRule type="cellIs" dxfId="41" priority="37" operator="equal">
      <formula>"Important"</formula>
    </cfRule>
    <cfRule type="cellIs" dxfId="40" priority="38" operator="equal">
      <formula>"Crucial"</formula>
    </cfRule>
    <cfRule type="cellIs" dxfId="39" priority="39" operator="equal">
      <formula>"N/A"</formula>
    </cfRule>
  </conditionalFormatting>
  <conditionalFormatting sqref="D43:D71">
    <cfRule type="cellIs" dxfId="38" priority="10" operator="equal">
      <formula>"Important"</formula>
    </cfRule>
    <cfRule type="cellIs" dxfId="37" priority="11" operator="equal">
      <formula>"Crucial"</formula>
    </cfRule>
    <cfRule type="cellIs" dxfId="36" priority="12" operator="equal">
      <formula>"N/A"</formula>
    </cfRule>
  </conditionalFormatting>
  <conditionalFormatting sqref="D73:D78">
    <cfRule type="cellIs" dxfId="35" priority="7" operator="equal">
      <formula>"Important"</formula>
    </cfRule>
    <cfRule type="cellIs" dxfId="34" priority="8" operator="equal">
      <formula>"Crucial"</formula>
    </cfRule>
    <cfRule type="cellIs" dxfId="33" priority="9" operator="equal">
      <formula>"N/A"</formula>
    </cfRule>
  </conditionalFormatting>
  <conditionalFormatting sqref="D80:D88">
    <cfRule type="cellIs" dxfId="32" priority="1" operator="equal">
      <formula>"Important"</formula>
    </cfRule>
    <cfRule type="cellIs" dxfId="31" priority="2" operator="equal">
      <formula>"Crucial"</formula>
    </cfRule>
    <cfRule type="cellIs" dxfId="30" priority="3" operator="equal">
      <formula>"N/A"</formula>
    </cfRule>
  </conditionalFormatting>
  <conditionalFormatting sqref="F4:F88">
    <cfRule type="cellIs" dxfId="29" priority="52" operator="equal">
      <formula>"Function Not Available"</formula>
    </cfRule>
    <cfRule type="cellIs" dxfId="28" priority="53" operator="equal">
      <formula>"Function Available"</formula>
    </cfRule>
    <cfRule type="cellIs" dxfId="27" priority="54" operator="equal">
      <formula>"Exception"</formula>
    </cfRule>
  </conditionalFormatting>
  <dataValidations count="4">
    <dataValidation type="list" allowBlank="1" showInputMessage="1" showErrorMessage="1" sqref="F4:F5" xr:uid="{00000000-0002-0000-0500-000000000000}">
      <formula1>AvailabilityType</formula1>
    </dataValidation>
    <dataValidation type="list" allowBlank="1" showInputMessage="1" showErrorMessage="1" sqref="D43:D71 D4:D41 D82:D88" xr:uid="{5B61EAA1-2BC8-4B50-901B-0BF8A5C4ADB4}">
      <formula1>SpecType</formula1>
    </dataValidation>
    <dataValidation type="list" allowBlank="1" showInputMessage="1" showErrorMessage="1" errorTitle="Invalid specification type" error="Please enter a Specification type from the drop-down list." sqref="D73:D78 D80:D81" xr:uid="{BBA08FF5-F59D-4A5F-B172-D3E5AF1E6118}">
      <formula1>SpecType</formula1>
    </dataValidation>
    <dataValidation type="list" allowBlank="1" showInputMessage="1" showErrorMessage="1" errorTitle="Invalid specification type" error="Please enter a Specification type from the drop-down list." sqref="F43:F71 F73:F78 F80:F88 F6:F41" xr:uid="{00000000-0002-0000-0500-000003000000}">
      <formula1>AvailabilityType</formula1>
    </dataValidation>
  </dataValidations>
  <pageMargins left="0.7" right="0.7" top="0.75" bottom="0.75" header="0.3" footer="0.3"/>
  <pageSetup scale="44" fitToHeight="0" orientation="portrait" r:id="rId1"/>
  <headerFooter>
    <oddHeader>&amp;CGCCDA
&amp;F&amp;R&amp;A</oddHeader>
    <oddFooter>&amp;LTSSI Consulting LLC, March 2026&amp;CPage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M31"/>
  <sheetViews>
    <sheetView showGridLines="0" zoomScale="80" zoomScaleNormal="80" zoomScalePageLayoutView="40" workbookViewId="0">
      <selection activeCell="F4" sqref="F4"/>
    </sheetView>
  </sheetViews>
  <sheetFormatPr defaultColWidth="0" defaultRowHeight="15" zeroHeight="1" x14ac:dyDescent="0.25"/>
  <cols>
    <col min="1" max="1" width="0.7109375" customWidth="1"/>
    <col min="2" max="2" width="11.7109375" customWidth="1"/>
    <col min="3" max="3" width="11.42578125" customWidth="1"/>
    <col min="4" max="4" width="23.85546875" customWidth="1"/>
    <col min="5" max="5" width="65.7109375" customWidth="1"/>
    <col min="6" max="6" width="29.42578125" customWidth="1"/>
    <col min="7" max="7" width="15.42578125" style="77" hidden="1" customWidth="1"/>
    <col min="8" max="11" width="12.7109375" hidden="1" customWidth="1"/>
    <col min="12" max="12" width="55.42578125" customWidth="1"/>
    <col min="13" max="13" width="3" customWidth="1"/>
    <col min="14" max="16384" width="9.140625" hidden="1"/>
  </cols>
  <sheetData>
    <row r="1" spans="2:12" ht="2.65" customHeight="1" x14ac:dyDescent="0.25"/>
    <row r="2" spans="2:12" s="78" customFormat="1" ht="129" customHeight="1" thickBot="1" x14ac:dyDescent="0.25">
      <c r="B2" s="135" t="s">
        <v>44</v>
      </c>
      <c r="C2" s="136" t="s">
        <v>45</v>
      </c>
      <c r="D2" s="136" t="s">
        <v>46</v>
      </c>
      <c r="E2" s="136" t="s">
        <v>294</v>
      </c>
      <c r="F2" s="136" t="s">
        <v>42</v>
      </c>
      <c r="G2" s="137" t="s">
        <v>48</v>
      </c>
      <c r="H2" s="137" t="s">
        <v>49</v>
      </c>
      <c r="I2" s="138" t="s">
        <v>50</v>
      </c>
      <c r="J2" s="138" t="s">
        <v>51</v>
      </c>
      <c r="K2" s="139" t="s">
        <v>14</v>
      </c>
      <c r="L2" s="140" t="s">
        <v>52</v>
      </c>
    </row>
    <row r="3" spans="2:12" ht="16.5" thickBot="1" x14ac:dyDescent="0.3">
      <c r="B3" s="129" t="s">
        <v>295</v>
      </c>
      <c r="C3" s="129"/>
      <c r="D3" s="129"/>
      <c r="E3" s="129"/>
      <c r="F3" s="129"/>
      <c r="G3" s="127" t="s">
        <v>54</v>
      </c>
      <c r="H3" s="130">
        <f>COUNTA(D4:D505)</f>
        <v>25</v>
      </c>
      <c r="I3" s="88"/>
      <c r="J3" s="89" t="s">
        <v>55</v>
      </c>
      <c r="K3" s="131">
        <f>SUM(K4:K505)</f>
        <v>0</v>
      </c>
      <c r="L3" s="129"/>
    </row>
    <row r="4" spans="2:12" ht="33" customHeight="1" x14ac:dyDescent="0.25">
      <c r="B4" s="184" t="s">
        <v>296</v>
      </c>
      <c r="C4" s="98">
        <v>1</v>
      </c>
      <c r="D4" s="99" t="s">
        <v>10</v>
      </c>
      <c r="E4" s="108" t="s">
        <v>417</v>
      </c>
      <c r="F4" s="196" t="s">
        <v>43</v>
      </c>
      <c r="G4" s="197" t="s">
        <v>59</v>
      </c>
      <c r="H4" s="198">
        <f>COUNTIF(F4:F505,"Select from Drop Down")</f>
        <v>25</v>
      </c>
      <c r="I4" s="199">
        <f>VLOOKUP($D4,SpecData,2,FALSE)</f>
        <v>2</v>
      </c>
      <c r="J4" s="200">
        <f>VLOOKUP($F4,AvailabilityData,2,FALSE)</f>
        <v>0</v>
      </c>
      <c r="K4" s="201">
        <f>I4*J4</f>
        <v>0</v>
      </c>
      <c r="L4" s="40"/>
    </row>
    <row r="5" spans="2:12" ht="42" customHeight="1" x14ac:dyDescent="0.25">
      <c r="B5" s="184" t="str">
        <f>IF(C5="","",$B$4)</f>
        <v>MMsg</v>
      </c>
      <c r="C5" s="98">
        <f>IF(ISTEXT(D5),MAX($C$4:$C4)+1,"")</f>
        <v>2</v>
      </c>
      <c r="D5" s="99" t="s">
        <v>9</v>
      </c>
      <c r="E5" s="108" t="s">
        <v>418</v>
      </c>
      <c r="F5" s="202" t="s">
        <v>43</v>
      </c>
      <c r="G5" s="197" t="s">
        <v>61</v>
      </c>
      <c r="H5" s="198">
        <f>COUNTIF(F4:F505,"Function Available")</f>
        <v>0</v>
      </c>
      <c r="I5" s="199">
        <f>VLOOKUP($D5,SpecData,2,FALSE)</f>
        <v>3</v>
      </c>
      <c r="J5" s="200">
        <f>VLOOKUP($F5,AvailabilityData,2,FALSE)</f>
        <v>0</v>
      </c>
      <c r="K5" s="201">
        <f>I5*J5</f>
        <v>0</v>
      </c>
      <c r="L5" s="40"/>
    </row>
    <row r="6" spans="2:12" ht="43.5" customHeight="1" x14ac:dyDescent="0.25">
      <c r="B6" s="184" t="str">
        <f t="shared" ref="B6:B29" si="0">IF(C6="","",$B$4)</f>
        <v>MMsg</v>
      </c>
      <c r="C6" s="98">
        <f>IF(ISTEXT(D6),MAX($C$4:$C5)+1,"")</f>
        <v>3</v>
      </c>
      <c r="D6" s="99" t="s">
        <v>9</v>
      </c>
      <c r="E6" s="108" t="s">
        <v>297</v>
      </c>
      <c r="F6" s="196" t="s">
        <v>43</v>
      </c>
      <c r="G6" s="197" t="s">
        <v>63</v>
      </c>
      <c r="H6" s="208">
        <f>COUNTIF(F4:F505,"Function Not Available")</f>
        <v>0</v>
      </c>
      <c r="I6" s="199">
        <f t="shared" ref="I6:I12" si="1">VLOOKUP($D6,SpecData,2,FALSE)</f>
        <v>3</v>
      </c>
      <c r="J6" s="200">
        <f t="shared" ref="J6:J12" si="2">VLOOKUP($F6,AvailabilityData,2,FALSE)</f>
        <v>0</v>
      </c>
      <c r="K6" s="210">
        <f t="shared" ref="K6:K12" si="3">I6*J6</f>
        <v>0</v>
      </c>
      <c r="L6" s="40"/>
    </row>
    <row r="7" spans="2:12" ht="42.75" x14ac:dyDescent="0.25">
      <c r="B7" s="184" t="str">
        <f t="shared" si="0"/>
        <v>MMsg</v>
      </c>
      <c r="C7" s="98">
        <f>IF(ISTEXT(D7),MAX($C$4:$C6)+1,"")</f>
        <v>4</v>
      </c>
      <c r="D7" s="99" t="s">
        <v>10</v>
      </c>
      <c r="E7" s="108" t="s">
        <v>298</v>
      </c>
      <c r="F7" s="202" t="s">
        <v>43</v>
      </c>
      <c r="G7" s="197" t="s">
        <v>65</v>
      </c>
      <c r="H7" s="208">
        <f>COUNTIF(F4:F505,"Exception")</f>
        <v>0</v>
      </c>
      <c r="I7" s="199">
        <f t="shared" si="1"/>
        <v>2</v>
      </c>
      <c r="J7" s="200">
        <f t="shared" si="2"/>
        <v>0</v>
      </c>
      <c r="K7" s="201">
        <f t="shared" si="3"/>
        <v>0</v>
      </c>
      <c r="L7" s="40"/>
    </row>
    <row r="8" spans="2:12" ht="42.75" x14ac:dyDescent="0.25">
      <c r="B8" s="184" t="str">
        <f t="shared" si="0"/>
        <v>MMsg</v>
      </c>
      <c r="C8" s="98">
        <f>IF(ISTEXT(D8),MAX($C$4:$C7)+1,"")</f>
        <v>5</v>
      </c>
      <c r="D8" s="99" t="s">
        <v>10</v>
      </c>
      <c r="E8" s="108" t="s">
        <v>299</v>
      </c>
      <c r="F8" s="196" t="s">
        <v>43</v>
      </c>
      <c r="G8" s="197" t="s">
        <v>66</v>
      </c>
      <c r="H8" s="209">
        <f>COUNTIFS(D:D,"=Crucial",F:F,"=Select From Drop Down")</f>
        <v>6</v>
      </c>
      <c r="I8" s="199">
        <f t="shared" si="1"/>
        <v>2</v>
      </c>
      <c r="J8" s="200">
        <f t="shared" si="2"/>
        <v>0</v>
      </c>
      <c r="K8" s="210">
        <f t="shared" si="3"/>
        <v>0</v>
      </c>
      <c r="L8" s="40"/>
    </row>
    <row r="9" spans="2:12" ht="30" customHeight="1" x14ac:dyDescent="0.25">
      <c r="B9" s="184" t="str">
        <f t="shared" si="0"/>
        <v>MMsg</v>
      </c>
      <c r="C9" s="98">
        <f>IF(ISTEXT(D9),MAX($C$4:$C8)+1,"")</f>
        <v>6</v>
      </c>
      <c r="D9" s="99" t="s">
        <v>10</v>
      </c>
      <c r="E9" s="108" t="s">
        <v>419</v>
      </c>
      <c r="F9" s="202" t="s">
        <v>43</v>
      </c>
      <c r="G9" s="197" t="s">
        <v>67</v>
      </c>
      <c r="H9" s="209">
        <f>COUNTIFS(D:D,"=Crucial",F:F,"=Function Available")</f>
        <v>0</v>
      </c>
      <c r="I9" s="199">
        <f t="shared" si="1"/>
        <v>2</v>
      </c>
      <c r="J9" s="200">
        <f t="shared" si="2"/>
        <v>0</v>
      </c>
      <c r="K9" s="210">
        <f t="shared" si="3"/>
        <v>0</v>
      </c>
      <c r="L9" s="40"/>
    </row>
    <row r="10" spans="2:12" ht="30" customHeight="1" x14ac:dyDescent="0.25">
      <c r="B10" s="184" t="str">
        <f t="shared" si="0"/>
        <v>MMsg</v>
      </c>
      <c r="C10" s="98">
        <f>IF(ISTEXT(D10),MAX($C$4:$C9)+1,"")</f>
        <v>7</v>
      </c>
      <c r="D10" s="99" t="s">
        <v>10</v>
      </c>
      <c r="E10" s="108" t="s">
        <v>420</v>
      </c>
      <c r="F10" s="196" t="s">
        <v>43</v>
      </c>
      <c r="G10" s="197" t="s">
        <v>69</v>
      </c>
      <c r="H10" s="209">
        <f>COUNTIFS(D:D,"=Crucial",F:F,"=Function Not Available")</f>
        <v>0</v>
      </c>
      <c r="I10" s="199">
        <f t="shared" si="1"/>
        <v>2</v>
      </c>
      <c r="J10" s="200">
        <f t="shared" si="2"/>
        <v>0</v>
      </c>
      <c r="K10" s="210">
        <f t="shared" si="3"/>
        <v>0</v>
      </c>
      <c r="L10" s="40"/>
    </row>
    <row r="11" spans="2:12" ht="42.75" x14ac:dyDescent="0.25">
      <c r="B11" s="184" t="str">
        <f t="shared" si="0"/>
        <v>MMsg</v>
      </c>
      <c r="C11" s="98">
        <f>IF(ISTEXT(D11),MAX($C$4:$C10)+1,"")</f>
        <v>8</v>
      </c>
      <c r="D11" s="99" t="s">
        <v>10</v>
      </c>
      <c r="E11" s="108" t="s">
        <v>300</v>
      </c>
      <c r="F11" s="202" t="s">
        <v>43</v>
      </c>
      <c r="G11" s="203" t="s">
        <v>71</v>
      </c>
      <c r="H11" s="262">
        <f>COUNTIFS(D:D,"=Crucial",F:F,"=Exception")</f>
        <v>0</v>
      </c>
      <c r="I11" s="205">
        <f t="shared" si="1"/>
        <v>2</v>
      </c>
      <c r="J11" s="206">
        <f t="shared" si="2"/>
        <v>0</v>
      </c>
      <c r="K11" s="207">
        <f t="shared" si="3"/>
        <v>0</v>
      </c>
      <c r="L11" s="41"/>
    </row>
    <row r="12" spans="2:12" ht="30" customHeight="1" x14ac:dyDescent="0.25">
      <c r="B12" s="184" t="str">
        <f t="shared" si="0"/>
        <v>MMsg</v>
      </c>
      <c r="C12" s="98">
        <f>IF(ISTEXT(D12),MAX($C$4:$C11)+1,"")</f>
        <v>9</v>
      </c>
      <c r="D12" s="99" t="s">
        <v>10</v>
      </c>
      <c r="E12" s="108" t="s">
        <v>421</v>
      </c>
      <c r="F12" s="196" t="s">
        <v>43</v>
      </c>
      <c r="G12" s="197" t="s">
        <v>72</v>
      </c>
      <c r="H12" s="209">
        <f>COUNTIFS(D:D,"=Important",F:F,"=Select From Drop Down")</f>
        <v>14</v>
      </c>
      <c r="I12" s="214">
        <f t="shared" si="1"/>
        <v>2</v>
      </c>
      <c r="J12" s="215">
        <f t="shared" si="2"/>
        <v>0</v>
      </c>
      <c r="K12" s="210">
        <f t="shared" si="3"/>
        <v>0</v>
      </c>
      <c r="L12" s="42"/>
    </row>
    <row r="13" spans="2:12" ht="30" customHeight="1" x14ac:dyDescent="0.25">
      <c r="B13" s="184" t="str">
        <f t="shared" si="0"/>
        <v>MMsg</v>
      </c>
      <c r="C13" s="98">
        <f>IF(ISTEXT(D13),MAX($C$4:$C12)+1,"")</f>
        <v>10</v>
      </c>
      <c r="D13" s="99" t="s">
        <v>9</v>
      </c>
      <c r="E13" s="108" t="s">
        <v>422</v>
      </c>
      <c r="F13" s="202" t="s">
        <v>43</v>
      </c>
      <c r="G13" s="197" t="s">
        <v>74</v>
      </c>
      <c r="H13" s="209">
        <f>COUNTIFS(D:D,"=Important",F:F,"=Function Available")</f>
        <v>0</v>
      </c>
      <c r="I13" s="214">
        <f t="shared" ref="I13:I29" si="4">VLOOKUP($D13,SpecData,2,FALSE)</f>
        <v>3</v>
      </c>
      <c r="J13" s="215">
        <f t="shared" ref="J13:J29" si="5">VLOOKUP($F13,AvailabilityData,2,FALSE)</f>
        <v>0</v>
      </c>
      <c r="K13" s="210">
        <f t="shared" ref="K13:K29" si="6">I13*J13</f>
        <v>0</v>
      </c>
      <c r="L13" s="43"/>
    </row>
    <row r="14" spans="2:12" ht="30" customHeight="1" x14ac:dyDescent="0.25">
      <c r="B14" s="184" t="str">
        <f t="shared" si="0"/>
        <v>MMsg</v>
      </c>
      <c r="C14" s="98">
        <f>IF(ISTEXT(D14),MAX($C$4:$C13)+1,"")</f>
        <v>11</v>
      </c>
      <c r="D14" s="99" t="s">
        <v>9</v>
      </c>
      <c r="E14" s="185" t="s">
        <v>301</v>
      </c>
      <c r="F14" s="196" t="s">
        <v>43</v>
      </c>
      <c r="G14" s="220" t="s">
        <v>76</v>
      </c>
      <c r="H14" s="221">
        <f>COUNTIFS(D:D,"=Important",F:F,"=Function Not Available")</f>
        <v>0</v>
      </c>
      <c r="I14" s="211">
        <f t="shared" si="4"/>
        <v>3</v>
      </c>
      <c r="J14" s="212">
        <f t="shared" si="5"/>
        <v>0</v>
      </c>
      <c r="K14" s="213">
        <f t="shared" si="6"/>
        <v>0</v>
      </c>
      <c r="L14" s="40"/>
    </row>
    <row r="15" spans="2:12" ht="73.5" customHeight="1" x14ac:dyDescent="0.25">
      <c r="B15" s="184" t="str">
        <f t="shared" si="0"/>
        <v>MMsg</v>
      </c>
      <c r="C15" s="98">
        <f>IF(ISTEXT(D15),MAX($C$4:$C14)+1,"")</f>
        <v>12</v>
      </c>
      <c r="D15" s="99" t="s">
        <v>10</v>
      </c>
      <c r="E15" s="108" t="s">
        <v>302</v>
      </c>
      <c r="F15" s="202" t="s">
        <v>43</v>
      </c>
      <c r="G15" s="218" t="s">
        <v>77</v>
      </c>
      <c r="H15" s="263">
        <f>COUNTIFS(D:D,"=Important",F:F,"=Exception")</f>
        <v>0</v>
      </c>
      <c r="I15" s="199">
        <f t="shared" si="4"/>
        <v>2</v>
      </c>
      <c r="J15" s="200">
        <f t="shared" si="5"/>
        <v>0</v>
      </c>
      <c r="K15" s="201">
        <f t="shared" si="6"/>
        <v>0</v>
      </c>
      <c r="L15" s="40"/>
    </row>
    <row r="16" spans="2:12" ht="30" customHeight="1" x14ac:dyDescent="0.25">
      <c r="B16" s="184" t="str">
        <f t="shared" si="0"/>
        <v>MMsg</v>
      </c>
      <c r="C16" s="98">
        <f>IF(ISTEXT(D16),MAX($C$4:$C15)+1,"")</f>
        <v>13</v>
      </c>
      <c r="D16" s="99" t="s">
        <v>10</v>
      </c>
      <c r="E16" s="108" t="s">
        <v>303</v>
      </c>
      <c r="F16" s="196" t="s">
        <v>43</v>
      </c>
      <c r="G16" s="197" t="s">
        <v>79</v>
      </c>
      <c r="H16" s="209">
        <f>COUNTIFS(D:D,"=Minimal",F:F,"=Select From Drop Down")</f>
        <v>4</v>
      </c>
      <c r="I16" s="214">
        <f t="shared" si="4"/>
        <v>2</v>
      </c>
      <c r="J16" s="215">
        <f t="shared" si="5"/>
        <v>0</v>
      </c>
      <c r="K16" s="210">
        <f t="shared" si="6"/>
        <v>0</v>
      </c>
      <c r="L16" s="40"/>
    </row>
    <row r="17" spans="2:12" ht="30" customHeight="1" x14ac:dyDescent="0.25">
      <c r="B17" s="184" t="str">
        <f t="shared" si="0"/>
        <v>MMsg</v>
      </c>
      <c r="C17" s="98">
        <f>IF(ISTEXT(D17),MAX($C$4:$C16)+1,"")</f>
        <v>14</v>
      </c>
      <c r="D17" s="99" t="s">
        <v>10</v>
      </c>
      <c r="E17" s="108" t="s">
        <v>304</v>
      </c>
      <c r="F17" s="202" t="s">
        <v>43</v>
      </c>
      <c r="G17" s="197" t="s">
        <v>82</v>
      </c>
      <c r="H17" s="209">
        <f>COUNTIFS(D:D,"=Minimal",F:F,"=Function Available")</f>
        <v>0</v>
      </c>
      <c r="I17" s="214">
        <f t="shared" si="4"/>
        <v>2</v>
      </c>
      <c r="J17" s="215">
        <f t="shared" si="5"/>
        <v>0</v>
      </c>
      <c r="K17" s="210">
        <f t="shared" si="6"/>
        <v>0</v>
      </c>
      <c r="L17" s="40"/>
    </row>
    <row r="18" spans="2:12" ht="30" customHeight="1" x14ac:dyDescent="0.25">
      <c r="B18" s="184" t="str">
        <f t="shared" si="0"/>
        <v>MMsg</v>
      </c>
      <c r="C18" s="98">
        <f>IF(ISTEXT(D18),MAX($C$4:$C17)+1,"")</f>
        <v>15</v>
      </c>
      <c r="D18" s="99" t="s">
        <v>10</v>
      </c>
      <c r="E18" s="108" t="s">
        <v>305</v>
      </c>
      <c r="F18" s="196" t="s">
        <v>43</v>
      </c>
      <c r="G18" s="197" t="s">
        <v>84</v>
      </c>
      <c r="H18" s="209">
        <f>COUNTIFS(D:D,"=Minimal",F:F,"=Function Not Available")</f>
        <v>0</v>
      </c>
      <c r="I18" s="214">
        <f t="shared" si="4"/>
        <v>2</v>
      </c>
      <c r="J18" s="215">
        <f t="shared" si="5"/>
        <v>0</v>
      </c>
      <c r="K18" s="210">
        <f t="shared" si="6"/>
        <v>0</v>
      </c>
      <c r="L18" s="40"/>
    </row>
    <row r="19" spans="2:12" ht="30" customHeight="1" x14ac:dyDescent="0.25">
      <c r="B19" s="184" t="str">
        <f t="shared" si="0"/>
        <v>MMsg</v>
      </c>
      <c r="C19" s="98">
        <f>IF(ISTEXT(D19),MAX($C$4:$C18)+1,"")</f>
        <v>16</v>
      </c>
      <c r="D19" s="99" t="s">
        <v>11</v>
      </c>
      <c r="E19" s="108" t="s">
        <v>526</v>
      </c>
      <c r="F19" s="202" t="s">
        <v>43</v>
      </c>
      <c r="G19" s="197" t="s">
        <v>86</v>
      </c>
      <c r="H19" s="209">
        <f>COUNTIFS(D:D,"=Minimal",F:F,"=Exception")</f>
        <v>0</v>
      </c>
      <c r="I19" s="214">
        <f t="shared" si="4"/>
        <v>1</v>
      </c>
      <c r="J19" s="215">
        <f t="shared" si="5"/>
        <v>0</v>
      </c>
      <c r="K19" s="210">
        <f t="shared" si="6"/>
        <v>0</v>
      </c>
      <c r="L19" s="40"/>
    </row>
    <row r="20" spans="2:12" ht="30" customHeight="1" x14ac:dyDescent="0.25">
      <c r="B20" s="184" t="str">
        <f t="shared" si="0"/>
        <v>MMsg</v>
      </c>
      <c r="C20" s="98">
        <f>IF(ISTEXT(D20),MAX($C$4:$C19)+1,"")</f>
        <v>17</v>
      </c>
      <c r="D20" s="99" t="s">
        <v>10</v>
      </c>
      <c r="E20" s="186" t="s">
        <v>306</v>
      </c>
      <c r="F20" s="196" t="s">
        <v>43</v>
      </c>
      <c r="G20" s="197"/>
      <c r="H20" s="208"/>
      <c r="I20" s="214">
        <f t="shared" si="4"/>
        <v>2</v>
      </c>
      <c r="J20" s="215">
        <f t="shared" si="5"/>
        <v>0</v>
      </c>
      <c r="K20" s="210">
        <f t="shared" si="6"/>
        <v>0</v>
      </c>
      <c r="L20" s="40"/>
    </row>
    <row r="21" spans="2:12" ht="30" customHeight="1" x14ac:dyDescent="0.25">
      <c r="B21" s="184" t="str">
        <f t="shared" si="0"/>
        <v>MMsg</v>
      </c>
      <c r="C21" s="98">
        <f>IF(ISTEXT(D21),MAX($C$4:$C20)+1,"")</f>
        <v>18</v>
      </c>
      <c r="D21" s="99" t="s">
        <v>9</v>
      </c>
      <c r="E21" s="185" t="s">
        <v>307</v>
      </c>
      <c r="F21" s="202" t="s">
        <v>43</v>
      </c>
      <c r="G21" s="197"/>
      <c r="H21" s="208"/>
      <c r="I21" s="214">
        <f t="shared" si="4"/>
        <v>3</v>
      </c>
      <c r="J21" s="215">
        <f t="shared" si="5"/>
        <v>0</v>
      </c>
      <c r="K21" s="210">
        <f t="shared" si="6"/>
        <v>0</v>
      </c>
      <c r="L21" s="40"/>
    </row>
    <row r="22" spans="2:12" ht="30" customHeight="1" x14ac:dyDescent="0.25">
      <c r="B22" s="160" t="str">
        <f t="shared" ref="B22" si="7">IF(C22="","",$B$4)</f>
        <v/>
      </c>
      <c r="C22" s="121" t="str">
        <f>IF(ISTEXT(D22),MAX($C$4:$C21)+1,"")</f>
        <v/>
      </c>
      <c r="D22" s="121"/>
      <c r="E22" s="178" t="s">
        <v>308</v>
      </c>
      <c r="F22" s="132"/>
      <c r="G22" s="123"/>
      <c r="H22" s="123"/>
      <c r="I22" s="123"/>
      <c r="J22" s="123"/>
      <c r="K22" s="123"/>
      <c r="L22" s="123"/>
    </row>
    <row r="23" spans="2:12" ht="30" customHeight="1" x14ac:dyDescent="0.25">
      <c r="B23" s="75" t="str">
        <f>IF(C23="","",$B$4)</f>
        <v>MMsg</v>
      </c>
      <c r="C23" s="75">
        <f>IF(ISTEXT(D23),MAX($C$4:$C21)+1,"")</f>
        <v>19</v>
      </c>
      <c r="D23" s="99" t="s">
        <v>11</v>
      </c>
      <c r="E23" s="76" t="s">
        <v>527</v>
      </c>
      <c r="F23" s="196" t="s">
        <v>43</v>
      </c>
      <c r="G23" s="197"/>
      <c r="H23" s="208"/>
      <c r="I23" s="214">
        <f>VLOOKUP($D23,SpecData,2,FALSE)</f>
        <v>1</v>
      </c>
      <c r="J23" s="215">
        <f>VLOOKUP($F23,AvailabilityData,2,FALSE)</f>
        <v>0</v>
      </c>
      <c r="K23" s="210">
        <f t="shared" ref="K23:K25" si="8">I23*J23</f>
        <v>0</v>
      </c>
      <c r="L23" s="40"/>
    </row>
    <row r="24" spans="2:12" ht="30" customHeight="1" x14ac:dyDescent="0.25">
      <c r="B24" s="75" t="str">
        <f>IF(C24="","",$B$4)</f>
        <v>MMsg</v>
      </c>
      <c r="C24" s="75">
        <f>IF(ISTEXT(D24),MAX($C$4:$C23)+1,"")</f>
        <v>20</v>
      </c>
      <c r="D24" s="99" t="s">
        <v>10</v>
      </c>
      <c r="E24" s="76" t="s">
        <v>309</v>
      </c>
      <c r="F24" s="196" t="s">
        <v>43</v>
      </c>
      <c r="G24" s="197"/>
      <c r="H24" s="208"/>
      <c r="I24" s="214">
        <f>VLOOKUP($D24,SpecData,2,FALSE)</f>
        <v>2</v>
      </c>
      <c r="J24" s="215">
        <f>VLOOKUP($F24,AvailabilityData,2,FALSE)</f>
        <v>0</v>
      </c>
      <c r="K24" s="210">
        <f t="shared" si="8"/>
        <v>0</v>
      </c>
      <c r="L24" s="40"/>
    </row>
    <row r="25" spans="2:12" ht="30" customHeight="1" x14ac:dyDescent="0.25">
      <c r="B25" s="75" t="str">
        <f t="shared" ref="B25:B28" si="9">IF(C23="","",$B$4)</f>
        <v>MMsg</v>
      </c>
      <c r="C25" s="75">
        <f>IF(ISTEXT(D25),MAX($C$4:$C24)+1,"")</f>
        <v>21</v>
      </c>
      <c r="D25" s="99" t="s">
        <v>9</v>
      </c>
      <c r="E25" s="76" t="s">
        <v>310</v>
      </c>
      <c r="F25" s="196" t="s">
        <v>43</v>
      </c>
      <c r="G25" s="197"/>
      <c r="H25" s="208"/>
      <c r="I25" s="214">
        <f>VLOOKUP($D25,SpecData,2,FALSE)</f>
        <v>3</v>
      </c>
      <c r="J25" s="215">
        <f>VLOOKUP($F25,AvailabilityData,2,FALSE)</f>
        <v>0</v>
      </c>
      <c r="K25" s="210">
        <f t="shared" si="8"/>
        <v>0</v>
      </c>
      <c r="L25" s="40"/>
    </row>
    <row r="26" spans="2:12" ht="30" customHeight="1" x14ac:dyDescent="0.25">
      <c r="B26" s="75" t="str">
        <f t="shared" si="9"/>
        <v>MMsg</v>
      </c>
      <c r="C26" s="75">
        <f>IF(ISTEXT(D26),MAX($C$4:$C25)+1,"")</f>
        <v>22</v>
      </c>
      <c r="D26" s="99" t="s">
        <v>41</v>
      </c>
      <c r="E26" s="76" t="s">
        <v>528</v>
      </c>
      <c r="F26" s="101" t="s">
        <v>43</v>
      </c>
      <c r="G26" s="102"/>
      <c r="H26" s="114"/>
      <c r="I26" s="117">
        <f>VLOOKUP($D26,SpecData,2,FALSE)</f>
        <v>0</v>
      </c>
      <c r="J26" s="118">
        <f>VLOOKUP($F26,AvailabilityData,2,FALSE)</f>
        <v>0</v>
      </c>
      <c r="K26" s="116">
        <f>I26*J26</f>
        <v>0</v>
      </c>
      <c r="L26" s="74"/>
    </row>
    <row r="27" spans="2:12" ht="30" customHeight="1" x14ac:dyDescent="0.25">
      <c r="B27" s="75" t="str">
        <f t="shared" si="9"/>
        <v>MMsg</v>
      </c>
      <c r="C27" s="75">
        <f>IF(ISTEXT(D27),MAX($C$4:$C26)+1,"")</f>
        <v>23</v>
      </c>
      <c r="D27" s="99" t="s">
        <v>10</v>
      </c>
      <c r="E27" s="125" t="s">
        <v>529</v>
      </c>
      <c r="F27" s="196" t="s">
        <v>43</v>
      </c>
      <c r="G27" s="197"/>
      <c r="H27" s="208"/>
      <c r="I27" s="214">
        <f t="shared" si="4"/>
        <v>2</v>
      </c>
      <c r="J27" s="215">
        <f t="shared" si="5"/>
        <v>0</v>
      </c>
      <c r="K27" s="210">
        <f t="shared" si="6"/>
        <v>0</v>
      </c>
      <c r="L27" s="40"/>
    </row>
    <row r="28" spans="2:12" ht="30" customHeight="1" x14ac:dyDescent="0.25">
      <c r="B28" s="75" t="str">
        <f t="shared" si="9"/>
        <v>MMsg</v>
      </c>
      <c r="C28" s="75">
        <f>IF(ISTEXT(D28),MAX($C$4:$C27)+1,"")</f>
        <v>24</v>
      </c>
      <c r="D28" s="99" t="s">
        <v>11</v>
      </c>
      <c r="E28" s="125" t="s">
        <v>530</v>
      </c>
      <c r="F28" s="196" t="s">
        <v>43</v>
      </c>
      <c r="G28" s="197"/>
      <c r="H28" s="208"/>
      <c r="I28" s="214">
        <f t="shared" si="4"/>
        <v>1</v>
      </c>
      <c r="J28" s="215">
        <f t="shared" si="5"/>
        <v>0</v>
      </c>
      <c r="K28" s="210">
        <f t="shared" si="6"/>
        <v>0</v>
      </c>
      <c r="L28" s="40"/>
    </row>
    <row r="29" spans="2:12" ht="30" customHeight="1" x14ac:dyDescent="0.25">
      <c r="B29" s="75" t="str">
        <f t="shared" si="0"/>
        <v>MMsg</v>
      </c>
      <c r="C29" s="75">
        <f>IF(ISTEXT(D29),MAX($C$4:$C28)+1,"")</f>
        <v>25</v>
      </c>
      <c r="D29" s="99" t="s">
        <v>11</v>
      </c>
      <c r="E29" s="125" t="s">
        <v>531</v>
      </c>
      <c r="F29" s="196" t="s">
        <v>43</v>
      </c>
      <c r="G29" s="203"/>
      <c r="H29" s="204"/>
      <c r="I29" s="216">
        <f t="shared" si="4"/>
        <v>1</v>
      </c>
      <c r="J29" s="217">
        <f t="shared" si="5"/>
        <v>0</v>
      </c>
      <c r="K29" s="207">
        <f t="shared" si="6"/>
        <v>0</v>
      </c>
      <c r="L29" s="44"/>
    </row>
    <row r="30" spans="2:12" ht="7.5" customHeight="1" x14ac:dyDescent="0.25"/>
    <row r="31" spans="2:12" x14ac:dyDescent="0.25"/>
  </sheetData>
  <sheetProtection algorithmName="SHA-512" hashValue="361uGi7DvIHscPH37SlbumzgUYcMwz5YCU62Qh/jZ/sBnmKMyJrXpdIVZT7Q3Y5+FITOfnoTlvCjsnzwab1VIQ==" saltValue="ycJbjZJa0HZK3Y25sykutQ==" spinCount="100000" sheet="1" selectLockedCells="1"/>
  <conditionalFormatting sqref="D4:D29">
    <cfRule type="cellIs" dxfId="26" priority="1" operator="equal">
      <formula>"Important"</formula>
    </cfRule>
    <cfRule type="cellIs" dxfId="25" priority="2" operator="equal">
      <formula>"Crucial"</formula>
    </cfRule>
    <cfRule type="cellIs" dxfId="24" priority="3" operator="equal">
      <formula>"N/A"</formula>
    </cfRule>
  </conditionalFormatting>
  <conditionalFormatting sqref="F4:F29">
    <cfRule type="cellIs" dxfId="23" priority="13" operator="equal">
      <formula>"Function Not Available"</formula>
    </cfRule>
    <cfRule type="cellIs" dxfId="22" priority="14" operator="equal">
      <formula>"Function Available"</formula>
    </cfRule>
    <cfRule type="cellIs" dxfId="21" priority="15" operator="equal">
      <formula>"Exception"</formula>
    </cfRule>
  </conditionalFormatting>
  <dataValidations count="3">
    <dataValidation type="list" allowBlank="1" showInputMessage="1" showErrorMessage="1" errorTitle="Invalid specification type" error="Please enter a Specification type from the drop-down list." sqref="F6:F21 F23:F29" xr:uid="{00000000-0002-0000-0600-000000000000}">
      <formula1>AvailabilityType</formula1>
    </dataValidation>
    <dataValidation type="list" allowBlank="1" showInputMessage="1" showErrorMessage="1" sqref="D4:D21 D23:D29" xr:uid="{FC3172D0-70C4-4B8C-86DC-81ED3B8E7803}">
      <formula1>SpecType</formula1>
    </dataValidation>
    <dataValidation type="list" allowBlank="1" showInputMessage="1" showErrorMessage="1" sqref="F4:F5" xr:uid="{00000000-0002-0000-0600-000003000000}">
      <formula1>AvailabilityType</formula1>
    </dataValidation>
  </dataValidations>
  <pageMargins left="0.7" right="0.7" top="0.75" bottom="0.75" header="0.3" footer="0.3"/>
  <pageSetup scale="45" fitToHeight="0" orientation="portrait" r:id="rId1"/>
  <headerFooter>
    <oddHeader>&amp;CGCCDA
&amp;F&amp;R&amp;A</oddHeader>
    <oddFooter>&amp;LTSSI Consulting LLC, March 2026&amp;CPage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M57"/>
  <sheetViews>
    <sheetView showGridLines="0" zoomScale="80" zoomScaleNormal="80" zoomScalePageLayoutView="80" workbookViewId="0">
      <selection activeCell="F5" sqref="F5"/>
    </sheetView>
  </sheetViews>
  <sheetFormatPr defaultColWidth="0" defaultRowHeight="15" zeroHeight="1" x14ac:dyDescent="0.25"/>
  <cols>
    <col min="1" max="1" width="0.7109375" customWidth="1"/>
    <col min="2" max="2" width="11.7109375" customWidth="1"/>
    <col min="3" max="3" width="11.42578125" customWidth="1"/>
    <col min="4" max="4" width="23.85546875" customWidth="1"/>
    <col min="5" max="5" width="65.7109375" customWidth="1"/>
    <col min="6" max="6" width="29.42578125" customWidth="1"/>
    <col min="7" max="7" width="15.42578125" style="77" hidden="1" customWidth="1"/>
    <col min="8" max="11" width="12.7109375" hidden="1" customWidth="1"/>
    <col min="12" max="12" width="55.42578125" customWidth="1"/>
    <col min="13" max="13" width="3" customWidth="1"/>
    <col min="14" max="16384" width="9.140625" hidden="1"/>
  </cols>
  <sheetData>
    <row r="1" spans="2:12" ht="2.65" customHeight="1" thickBot="1" x14ac:dyDescent="0.3"/>
    <row r="2" spans="2:12" s="78" customFormat="1" ht="129" customHeight="1" thickBot="1" x14ac:dyDescent="0.25">
      <c r="B2" s="79" t="s">
        <v>44</v>
      </c>
      <c r="C2" s="79" t="s">
        <v>45</v>
      </c>
      <c r="D2" s="79" t="s">
        <v>46</v>
      </c>
      <c r="E2" s="79" t="s">
        <v>311</v>
      </c>
      <c r="F2" s="79" t="s">
        <v>42</v>
      </c>
      <c r="G2" s="80" t="s">
        <v>48</v>
      </c>
      <c r="H2" s="80" t="s">
        <v>49</v>
      </c>
      <c r="I2" s="81" t="s">
        <v>50</v>
      </c>
      <c r="J2" s="81" t="s">
        <v>51</v>
      </c>
      <c r="K2" s="82" t="s">
        <v>14</v>
      </c>
      <c r="L2" s="83" t="s">
        <v>52</v>
      </c>
    </row>
    <row r="3" spans="2:12" ht="16.5" thickBot="1" x14ac:dyDescent="0.3">
      <c r="B3" s="84" t="s">
        <v>312</v>
      </c>
      <c r="C3" s="85"/>
      <c r="D3" s="85"/>
      <c r="E3" s="85"/>
      <c r="F3" s="85"/>
      <c r="G3" s="86" t="s">
        <v>54</v>
      </c>
      <c r="H3" s="87">
        <f>COUNTA(D5:D502)</f>
        <v>49</v>
      </c>
      <c r="I3" s="88"/>
      <c r="J3" s="89" t="s">
        <v>55</v>
      </c>
      <c r="K3" s="131">
        <f>SUM(K4:K502)</f>
        <v>0</v>
      </c>
      <c r="L3" s="187"/>
    </row>
    <row r="4" spans="2:12" s="93" customFormat="1" ht="15.75" x14ac:dyDescent="0.25">
      <c r="B4" s="94" t="s">
        <v>313</v>
      </c>
      <c r="C4" s="95"/>
      <c r="D4" s="95"/>
      <c r="E4" s="95"/>
      <c r="F4" s="95"/>
      <c r="G4" s="102" t="s">
        <v>59</v>
      </c>
      <c r="H4" s="115">
        <f>COUNTIF(F5:F502,"Select from Drop Down")</f>
        <v>49</v>
      </c>
      <c r="I4" s="104">
        <f t="shared" ref="I4:I19" si="0">VLOOKUP($D5,SpecData,2,FALSE)</f>
        <v>2</v>
      </c>
      <c r="J4" s="105">
        <f t="shared" ref="J4:J19" si="1">VLOOKUP($F5,AvailabilityData,2,FALSE)</f>
        <v>0</v>
      </c>
      <c r="K4" s="106">
        <f>I4*J4</f>
        <v>0</v>
      </c>
      <c r="L4" s="113"/>
    </row>
    <row r="5" spans="2:12" ht="30" customHeight="1" x14ac:dyDescent="0.25">
      <c r="B5" s="97" t="s">
        <v>314</v>
      </c>
      <c r="C5" s="98">
        <v>1</v>
      </c>
      <c r="D5" s="99" t="s">
        <v>10</v>
      </c>
      <c r="E5" s="188" t="s">
        <v>423</v>
      </c>
      <c r="F5" s="196" t="s">
        <v>43</v>
      </c>
      <c r="G5" s="197" t="s">
        <v>61</v>
      </c>
      <c r="H5" s="209">
        <f>COUNTIF(F5:F502,"Function Available")</f>
        <v>0</v>
      </c>
      <c r="I5" s="214">
        <f t="shared" si="0"/>
        <v>2</v>
      </c>
      <c r="J5" s="215">
        <f t="shared" si="1"/>
        <v>0</v>
      </c>
      <c r="K5" s="210">
        <f>I5*J5</f>
        <v>0</v>
      </c>
      <c r="L5" s="36"/>
    </row>
    <row r="6" spans="2:12" ht="30" customHeight="1" x14ac:dyDescent="0.25">
      <c r="B6" s="97" t="str">
        <f>IF(C6="","",$B$5)</f>
        <v>IMDD</v>
      </c>
      <c r="C6" s="98">
        <v>2</v>
      </c>
      <c r="D6" s="99" t="s">
        <v>10</v>
      </c>
      <c r="E6" s="189" t="s">
        <v>315</v>
      </c>
      <c r="F6" s="202" t="s">
        <v>43</v>
      </c>
      <c r="G6" s="197" t="s">
        <v>63</v>
      </c>
      <c r="H6" s="209">
        <f>COUNTIF(F5:F502,"Function Not Available")</f>
        <v>0</v>
      </c>
      <c r="I6" s="214">
        <f t="shared" si="0"/>
        <v>1</v>
      </c>
      <c r="J6" s="215">
        <f t="shared" si="1"/>
        <v>0</v>
      </c>
      <c r="K6" s="210">
        <f t="shared" ref="K6:K12" si="2">I6*J6</f>
        <v>0</v>
      </c>
      <c r="L6" s="36"/>
    </row>
    <row r="7" spans="2:12" ht="42.75" customHeight="1" x14ac:dyDescent="0.25">
      <c r="B7" s="97" t="str">
        <f t="shared" ref="B7:B23" si="3">IF(C7="","",$B$5)</f>
        <v>IMDD</v>
      </c>
      <c r="C7" s="98">
        <v>3</v>
      </c>
      <c r="D7" s="99" t="s">
        <v>11</v>
      </c>
      <c r="E7" s="189" t="s">
        <v>316</v>
      </c>
      <c r="F7" s="196" t="s">
        <v>43</v>
      </c>
      <c r="G7" s="197" t="s">
        <v>65</v>
      </c>
      <c r="H7" s="209">
        <f>COUNTIF(F5:F502,"Exception")</f>
        <v>0</v>
      </c>
      <c r="I7" s="214">
        <f t="shared" si="0"/>
        <v>3</v>
      </c>
      <c r="J7" s="215">
        <f t="shared" si="1"/>
        <v>0</v>
      </c>
      <c r="K7" s="210">
        <f t="shared" si="2"/>
        <v>0</v>
      </c>
      <c r="L7" s="36"/>
    </row>
    <row r="8" spans="2:12" ht="30" customHeight="1" x14ac:dyDescent="0.25">
      <c r="B8" s="97" t="str">
        <f t="shared" si="3"/>
        <v>IMDD</v>
      </c>
      <c r="C8" s="98">
        <f>IF(ISTEXT(D8),MAX($C$7:$C7)+1,"")</f>
        <v>4</v>
      </c>
      <c r="D8" s="99" t="s">
        <v>9</v>
      </c>
      <c r="E8" s="189" t="s">
        <v>317</v>
      </c>
      <c r="F8" s="202" t="s">
        <v>43</v>
      </c>
      <c r="G8" s="197" t="s">
        <v>66</v>
      </c>
      <c r="H8" s="209">
        <f>COUNTIFS(D:D,"=Crucial",F:F,"=Select From Drop Down")</f>
        <v>22</v>
      </c>
      <c r="I8" s="214">
        <f t="shared" si="0"/>
        <v>3</v>
      </c>
      <c r="J8" s="215">
        <f t="shared" si="1"/>
        <v>0</v>
      </c>
      <c r="K8" s="210">
        <f t="shared" si="2"/>
        <v>0</v>
      </c>
      <c r="L8" s="36"/>
    </row>
    <row r="9" spans="2:12" ht="42.75" x14ac:dyDescent="0.25">
      <c r="B9" s="97" t="str">
        <f t="shared" si="3"/>
        <v>IMDD</v>
      </c>
      <c r="C9" s="98">
        <f>IF(ISTEXT(D9),MAX($C$7:$C8)+1,"")</f>
        <v>5</v>
      </c>
      <c r="D9" s="99" t="s">
        <v>9</v>
      </c>
      <c r="E9" s="189" t="s">
        <v>318</v>
      </c>
      <c r="F9" s="196" t="s">
        <v>43</v>
      </c>
      <c r="G9" s="197" t="s">
        <v>67</v>
      </c>
      <c r="H9" s="209">
        <f>COUNTIFS(D:D,"=Crucial",F:F,"=Function Available")</f>
        <v>0</v>
      </c>
      <c r="I9" s="214">
        <f t="shared" si="0"/>
        <v>3</v>
      </c>
      <c r="J9" s="215">
        <f t="shared" si="1"/>
        <v>0</v>
      </c>
      <c r="K9" s="210">
        <f t="shared" si="2"/>
        <v>0</v>
      </c>
      <c r="L9" s="36"/>
    </row>
    <row r="10" spans="2:12" ht="30" customHeight="1" x14ac:dyDescent="0.25">
      <c r="B10" s="97" t="str">
        <f t="shared" si="3"/>
        <v>IMDD</v>
      </c>
      <c r="C10" s="98">
        <f>IF(ISTEXT(D10),MAX($C$7:$C9)+1,"")</f>
        <v>6</v>
      </c>
      <c r="D10" s="99" t="s">
        <v>9</v>
      </c>
      <c r="E10" s="189" t="s">
        <v>78</v>
      </c>
      <c r="F10" s="202" t="s">
        <v>43</v>
      </c>
      <c r="G10" s="197" t="s">
        <v>69</v>
      </c>
      <c r="H10" s="209">
        <f>COUNTIFS(D:D,"=Crucial",F:F,"=Function Not Available")</f>
        <v>0</v>
      </c>
      <c r="I10" s="214">
        <f t="shared" si="0"/>
        <v>3</v>
      </c>
      <c r="J10" s="215">
        <f t="shared" si="1"/>
        <v>0</v>
      </c>
      <c r="K10" s="210">
        <f t="shared" si="2"/>
        <v>0</v>
      </c>
      <c r="L10" s="36"/>
    </row>
    <row r="11" spans="2:12" ht="30" customHeight="1" x14ac:dyDescent="0.25">
      <c r="B11" s="97" t="str">
        <f t="shared" si="3"/>
        <v>IMDD</v>
      </c>
      <c r="C11" s="98">
        <f>IF(ISTEXT(D11),MAX($C$7:$C10)+1,"")</f>
        <v>7</v>
      </c>
      <c r="D11" s="99" t="s">
        <v>9</v>
      </c>
      <c r="E11" s="189" t="s">
        <v>319</v>
      </c>
      <c r="F11" s="196" t="s">
        <v>43</v>
      </c>
      <c r="G11" s="197" t="s">
        <v>71</v>
      </c>
      <c r="H11" s="209">
        <f>COUNTIFS(D:D,"=Crucial",F:F,"=Exception")</f>
        <v>0</v>
      </c>
      <c r="I11" s="214">
        <f t="shared" si="0"/>
        <v>3</v>
      </c>
      <c r="J11" s="215">
        <f t="shared" si="1"/>
        <v>0</v>
      </c>
      <c r="K11" s="210">
        <f t="shared" si="2"/>
        <v>0</v>
      </c>
      <c r="L11" s="36"/>
    </row>
    <row r="12" spans="2:12" ht="30" customHeight="1" x14ac:dyDescent="0.25">
      <c r="B12" s="97" t="str">
        <f t="shared" si="3"/>
        <v>IMDD</v>
      </c>
      <c r="C12" s="98">
        <f>IF(ISTEXT(D12),MAX($C$7:$C11)+1,"")</f>
        <v>8</v>
      </c>
      <c r="D12" s="99" t="s">
        <v>9</v>
      </c>
      <c r="E12" s="190" t="s">
        <v>320</v>
      </c>
      <c r="F12" s="202" t="s">
        <v>43</v>
      </c>
      <c r="G12" s="197" t="s">
        <v>72</v>
      </c>
      <c r="H12" s="209">
        <f>COUNTIFS(D:D,"=Important",F:F,"=Select From Drop Down")</f>
        <v>13</v>
      </c>
      <c r="I12" s="214">
        <f t="shared" si="0"/>
        <v>3</v>
      </c>
      <c r="J12" s="215">
        <f t="shared" si="1"/>
        <v>0</v>
      </c>
      <c r="K12" s="210">
        <f t="shared" si="2"/>
        <v>0</v>
      </c>
      <c r="L12" s="38"/>
    </row>
    <row r="13" spans="2:12" ht="30" customHeight="1" x14ac:dyDescent="0.25">
      <c r="B13" s="97" t="str">
        <f t="shared" si="3"/>
        <v>IMDD</v>
      </c>
      <c r="C13" s="98">
        <f>IF(ISTEXT(D13),MAX($C$7:$C12)+1,"")</f>
        <v>9</v>
      </c>
      <c r="D13" s="99" t="s">
        <v>9</v>
      </c>
      <c r="E13" s="190" t="s">
        <v>321</v>
      </c>
      <c r="F13" s="196" t="s">
        <v>43</v>
      </c>
      <c r="G13" s="197" t="s">
        <v>74</v>
      </c>
      <c r="H13" s="209">
        <f>COUNTIFS(D:D,"=Important",F:F,"=Function Available")</f>
        <v>0</v>
      </c>
      <c r="I13" s="214">
        <f t="shared" si="0"/>
        <v>3</v>
      </c>
      <c r="J13" s="215">
        <f t="shared" si="1"/>
        <v>0</v>
      </c>
      <c r="K13" s="210">
        <f t="shared" ref="K13:K19" si="4">I13*J13</f>
        <v>0</v>
      </c>
      <c r="L13" s="38"/>
    </row>
    <row r="14" spans="2:12" ht="30" customHeight="1" x14ac:dyDescent="0.25">
      <c r="B14" s="97" t="str">
        <f t="shared" si="3"/>
        <v>IMDD</v>
      </c>
      <c r="C14" s="98">
        <f>IF(ISTEXT(D14),MAX($C$7:$C13)+1,"")</f>
        <v>10</v>
      </c>
      <c r="D14" s="99" t="s">
        <v>9</v>
      </c>
      <c r="E14" s="190" t="s">
        <v>322</v>
      </c>
      <c r="F14" s="202" t="s">
        <v>43</v>
      </c>
      <c r="G14" s="220" t="s">
        <v>76</v>
      </c>
      <c r="H14" s="221">
        <f>COUNTIFS(D:D,"=Important",F:F,"=Function Not Available")</f>
        <v>0</v>
      </c>
      <c r="I14" s="211">
        <f t="shared" si="0"/>
        <v>2</v>
      </c>
      <c r="J14" s="212">
        <f t="shared" si="1"/>
        <v>0</v>
      </c>
      <c r="K14" s="213">
        <f t="shared" si="4"/>
        <v>0</v>
      </c>
      <c r="L14" s="39"/>
    </row>
    <row r="15" spans="2:12" ht="30" customHeight="1" x14ac:dyDescent="0.25">
      <c r="B15" s="97" t="str">
        <f t="shared" si="3"/>
        <v>IMDD</v>
      </c>
      <c r="C15" s="98">
        <f>IF(ISTEXT(D15),MAX($C$7:$C14)+1,"")</f>
        <v>11</v>
      </c>
      <c r="D15" s="99" t="s">
        <v>10</v>
      </c>
      <c r="E15" s="191" t="s">
        <v>424</v>
      </c>
      <c r="F15" s="196" t="s">
        <v>43</v>
      </c>
      <c r="G15" s="218" t="s">
        <v>77</v>
      </c>
      <c r="H15" s="263">
        <f>COUNTIFS(D:D,"=Important",F:F,"=Exception")</f>
        <v>0</v>
      </c>
      <c r="I15" s="199">
        <f t="shared" si="0"/>
        <v>2</v>
      </c>
      <c r="J15" s="200">
        <f t="shared" si="1"/>
        <v>0</v>
      </c>
      <c r="K15" s="201">
        <f t="shared" si="4"/>
        <v>0</v>
      </c>
      <c r="L15" s="36"/>
    </row>
    <row r="16" spans="2:12" ht="30" customHeight="1" x14ac:dyDescent="0.25">
      <c r="B16" s="97" t="str">
        <f t="shared" si="3"/>
        <v>IMDD</v>
      </c>
      <c r="C16" s="98">
        <f>IF(ISTEXT(D16),MAX($C$7:$C15)+1,"")</f>
        <v>12</v>
      </c>
      <c r="D16" s="99" t="s">
        <v>10</v>
      </c>
      <c r="E16" s="191" t="s">
        <v>323</v>
      </c>
      <c r="F16" s="202" t="s">
        <v>43</v>
      </c>
      <c r="G16" s="197" t="s">
        <v>79</v>
      </c>
      <c r="H16" s="209">
        <f>COUNTIFS(D:D,"=Minimal",F:F,"=Select From Drop Down")</f>
        <v>12</v>
      </c>
      <c r="I16" s="214">
        <f t="shared" si="0"/>
        <v>2</v>
      </c>
      <c r="J16" s="215">
        <f t="shared" si="1"/>
        <v>0</v>
      </c>
      <c r="K16" s="210">
        <f t="shared" si="4"/>
        <v>0</v>
      </c>
      <c r="L16" s="36"/>
    </row>
    <row r="17" spans="2:12" ht="30" customHeight="1" x14ac:dyDescent="0.25">
      <c r="B17" s="97" t="str">
        <f t="shared" si="3"/>
        <v>IMDD</v>
      </c>
      <c r="C17" s="98">
        <f>IF(ISTEXT(D17),MAX($C$7:$C16)+1,"")</f>
        <v>13</v>
      </c>
      <c r="D17" s="99" t="s">
        <v>10</v>
      </c>
      <c r="E17" s="191" t="s">
        <v>324</v>
      </c>
      <c r="F17" s="196" t="s">
        <v>43</v>
      </c>
      <c r="G17" s="197" t="s">
        <v>82</v>
      </c>
      <c r="H17" s="209">
        <f>COUNTIFS(D:D,"=Minimal",F:F,"=Function Available")</f>
        <v>0</v>
      </c>
      <c r="I17" s="214">
        <f t="shared" si="0"/>
        <v>1</v>
      </c>
      <c r="J17" s="215">
        <f t="shared" si="1"/>
        <v>0</v>
      </c>
      <c r="K17" s="210">
        <f t="shared" si="4"/>
        <v>0</v>
      </c>
      <c r="L17" s="36"/>
    </row>
    <row r="18" spans="2:12" ht="30" customHeight="1" x14ac:dyDescent="0.25">
      <c r="B18" s="97" t="str">
        <f t="shared" si="3"/>
        <v>IMDD</v>
      </c>
      <c r="C18" s="98">
        <f>IF(ISTEXT(D18),MAX($C$7:$C17)+1,"")</f>
        <v>14</v>
      </c>
      <c r="D18" s="99" t="s">
        <v>11</v>
      </c>
      <c r="E18" s="192" t="s">
        <v>325</v>
      </c>
      <c r="F18" s="202" t="s">
        <v>43</v>
      </c>
      <c r="G18" s="197" t="s">
        <v>84</v>
      </c>
      <c r="H18" s="209">
        <f>COUNTIFS(D:D,"=Minimal",F:F,"=Function Not Available")</f>
        <v>0</v>
      </c>
      <c r="I18" s="214">
        <f t="shared" si="0"/>
        <v>3</v>
      </c>
      <c r="J18" s="215">
        <f t="shared" si="1"/>
        <v>0</v>
      </c>
      <c r="K18" s="210">
        <f t="shared" si="4"/>
        <v>0</v>
      </c>
      <c r="L18" s="36"/>
    </row>
    <row r="19" spans="2:12" ht="45" customHeight="1" x14ac:dyDescent="0.25">
      <c r="B19" s="97" t="str">
        <f t="shared" si="3"/>
        <v>IMDD</v>
      </c>
      <c r="C19" s="98">
        <f>IF(ISTEXT(D19),MAX($C$7:$C18)+1,"")</f>
        <v>15</v>
      </c>
      <c r="D19" s="99" t="s">
        <v>9</v>
      </c>
      <c r="E19" s="190" t="s">
        <v>326</v>
      </c>
      <c r="F19" s="196" t="s">
        <v>43</v>
      </c>
      <c r="G19" s="197" t="s">
        <v>86</v>
      </c>
      <c r="H19" s="209">
        <f>COUNTIFS(D:D,"=Minimal",F:F,"=Exception")</f>
        <v>0</v>
      </c>
      <c r="I19" s="214">
        <f t="shared" si="0"/>
        <v>3</v>
      </c>
      <c r="J19" s="215">
        <f t="shared" si="1"/>
        <v>0</v>
      </c>
      <c r="K19" s="210">
        <f t="shared" si="4"/>
        <v>0</v>
      </c>
      <c r="L19" s="36"/>
    </row>
    <row r="20" spans="2:12" ht="30" customHeight="1" x14ac:dyDescent="0.25">
      <c r="B20" s="97" t="str">
        <f t="shared" si="3"/>
        <v>IMDD</v>
      </c>
      <c r="C20" s="98">
        <f>IF(ISTEXT(D20),MAX($C$7:$C19)+1,"")</f>
        <v>16</v>
      </c>
      <c r="D20" s="99" t="s">
        <v>9</v>
      </c>
      <c r="E20" s="190" t="s">
        <v>327</v>
      </c>
      <c r="F20" s="202" t="s">
        <v>43</v>
      </c>
      <c r="G20" s="197"/>
      <c r="H20" s="209"/>
      <c r="I20" s="214"/>
      <c r="J20" s="215"/>
      <c r="K20" s="210"/>
      <c r="L20" s="36"/>
    </row>
    <row r="21" spans="2:12" ht="42.75" x14ac:dyDescent="0.25">
      <c r="B21" s="97" t="str">
        <f t="shared" si="3"/>
        <v>IMDD</v>
      </c>
      <c r="C21" s="98">
        <f>IF(ISTEXT(D21),MAX($C$7:$C20)+1,"")</f>
        <v>17</v>
      </c>
      <c r="D21" s="99" t="s">
        <v>9</v>
      </c>
      <c r="E21" s="190" t="s">
        <v>328</v>
      </c>
      <c r="F21" s="196" t="s">
        <v>43</v>
      </c>
      <c r="G21" s="197"/>
      <c r="H21" s="208"/>
      <c r="I21" s="214">
        <f t="shared" ref="I21:I56" si="5">VLOOKUP($D21,SpecData,2,FALSE)</f>
        <v>3</v>
      </c>
      <c r="J21" s="215">
        <f t="shared" ref="J21:J56" si="6">VLOOKUP($F21,AvailabilityData,2,FALSE)</f>
        <v>0</v>
      </c>
      <c r="K21" s="210">
        <f t="shared" ref="K21:K23" si="7">I21*J21</f>
        <v>0</v>
      </c>
      <c r="L21" s="36"/>
    </row>
    <row r="22" spans="2:12" ht="30" customHeight="1" x14ac:dyDescent="0.25">
      <c r="B22" s="97" t="str">
        <f t="shared" si="3"/>
        <v>IMDD</v>
      </c>
      <c r="C22" s="98">
        <f>IF(ISTEXT(D22),MAX($C$7:$C21)+1,"")</f>
        <v>18</v>
      </c>
      <c r="D22" s="99" t="s">
        <v>9</v>
      </c>
      <c r="E22" s="190" t="s">
        <v>329</v>
      </c>
      <c r="F22" s="202" t="s">
        <v>43</v>
      </c>
      <c r="G22" s="197"/>
      <c r="H22" s="208"/>
      <c r="I22" s="214">
        <f t="shared" si="5"/>
        <v>3</v>
      </c>
      <c r="J22" s="215">
        <f t="shared" si="6"/>
        <v>0</v>
      </c>
      <c r="K22" s="210">
        <f t="shared" si="7"/>
        <v>0</v>
      </c>
      <c r="L22" s="36"/>
    </row>
    <row r="23" spans="2:12" ht="30" customHeight="1" x14ac:dyDescent="0.25">
      <c r="B23" s="97" t="str">
        <f t="shared" si="3"/>
        <v>IMDD</v>
      </c>
      <c r="C23" s="98">
        <f>IF(ISTEXT(D23),MAX($C$7:$C22)+1,"")</f>
        <v>19</v>
      </c>
      <c r="D23" s="99" t="s">
        <v>9</v>
      </c>
      <c r="E23" s="190" t="s">
        <v>330</v>
      </c>
      <c r="F23" s="202" t="s">
        <v>43</v>
      </c>
      <c r="G23" s="197"/>
      <c r="H23" s="208"/>
      <c r="I23" s="214">
        <f t="shared" si="5"/>
        <v>3</v>
      </c>
      <c r="J23" s="215">
        <f t="shared" si="6"/>
        <v>0</v>
      </c>
      <c r="K23" s="210">
        <f t="shared" si="7"/>
        <v>0</v>
      </c>
      <c r="L23" s="36"/>
    </row>
    <row r="24" spans="2:12" ht="30" customHeight="1" x14ac:dyDescent="0.25">
      <c r="B24" s="97" t="str">
        <f t="shared" ref="B24:B32" si="8">IF(C24="","",$B$5)</f>
        <v>IMDD</v>
      </c>
      <c r="C24" s="98">
        <f>IF(ISTEXT(D24),MAX($C$7:$C23)+1,"")</f>
        <v>20</v>
      </c>
      <c r="D24" s="99" t="s">
        <v>11</v>
      </c>
      <c r="E24" s="190" t="s">
        <v>331</v>
      </c>
      <c r="F24" s="202" t="s">
        <v>43</v>
      </c>
      <c r="G24" s="197"/>
      <c r="H24" s="208"/>
      <c r="I24" s="214">
        <f t="shared" si="5"/>
        <v>1</v>
      </c>
      <c r="J24" s="215">
        <f t="shared" si="6"/>
        <v>0</v>
      </c>
      <c r="K24" s="210">
        <f t="shared" ref="K24:K32" si="9">I24*J24</f>
        <v>0</v>
      </c>
      <c r="L24" s="36"/>
    </row>
    <row r="25" spans="2:12" ht="42.75" x14ac:dyDescent="0.25">
      <c r="B25" s="97" t="str">
        <f t="shared" si="8"/>
        <v>IMDD</v>
      </c>
      <c r="C25" s="98">
        <f>IF(ISTEXT(D25),MAX($C$7:$C24)+1,"")</f>
        <v>21</v>
      </c>
      <c r="D25" s="99" t="s">
        <v>11</v>
      </c>
      <c r="E25" s="190" t="s">
        <v>332</v>
      </c>
      <c r="F25" s="202" t="s">
        <v>43</v>
      </c>
      <c r="G25" s="197"/>
      <c r="H25" s="208"/>
      <c r="I25" s="214">
        <f t="shared" si="5"/>
        <v>1</v>
      </c>
      <c r="J25" s="215">
        <f t="shared" si="6"/>
        <v>0</v>
      </c>
      <c r="K25" s="210">
        <f t="shared" si="9"/>
        <v>0</v>
      </c>
      <c r="L25" s="36"/>
    </row>
    <row r="26" spans="2:12" ht="57" x14ac:dyDescent="0.25">
      <c r="B26" s="97" t="str">
        <f t="shared" si="8"/>
        <v>IMDD</v>
      </c>
      <c r="C26" s="98">
        <f>IF(ISTEXT(D26),MAX($C$7:$C25)+1,"")</f>
        <v>22</v>
      </c>
      <c r="D26" s="99" t="s">
        <v>11</v>
      </c>
      <c r="E26" s="190" t="s">
        <v>333</v>
      </c>
      <c r="F26" s="202" t="s">
        <v>43</v>
      </c>
      <c r="G26" s="197"/>
      <c r="H26" s="208"/>
      <c r="I26" s="214">
        <f t="shared" si="5"/>
        <v>1</v>
      </c>
      <c r="J26" s="215">
        <f t="shared" si="6"/>
        <v>0</v>
      </c>
      <c r="K26" s="210">
        <f t="shared" si="9"/>
        <v>0</v>
      </c>
      <c r="L26" s="36"/>
    </row>
    <row r="27" spans="2:12" ht="30" customHeight="1" x14ac:dyDescent="0.25">
      <c r="B27" s="160" t="str">
        <f t="shared" si="8"/>
        <v/>
      </c>
      <c r="C27" s="121" t="str">
        <f>IF(ISTEXT(D27),MAX($C$7:$C26)+1,"")</f>
        <v/>
      </c>
      <c r="D27" s="121"/>
      <c r="E27" s="178" t="s">
        <v>334</v>
      </c>
      <c r="F27" s="132"/>
      <c r="G27" s="123"/>
      <c r="H27" s="123"/>
      <c r="I27" s="123"/>
      <c r="J27" s="123"/>
      <c r="K27" s="123"/>
      <c r="L27" s="123"/>
    </row>
    <row r="28" spans="2:12" ht="30" customHeight="1" x14ac:dyDescent="0.25">
      <c r="B28" s="97" t="str">
        <f t="shared" si="8"/>
        <v>IMDD</v>
      </c>
      <c r="C28" s="98">
        <f>IF(ISTEXT(D28),MAX($C$7:$C26)+1,"")</f>
        <v>23</v>
      </c>
      <c r="D28" s="99" t="s">
        <v>11</v>
      </c>
      <c r="E28" s="193" t="s">
        <v>335</v>
      </c>
      <c r="F28" s="202" t="s">
        <v>43</v>
      </c>
      <c r="G28" s="197"/>
      <c r="H28" s="208"/>
      <c r="I28" s="214">
        <f t="shared" si="5"/>
        <v>1</v>
      </c>
      <c r="J28" s="215">
        <f t="shared" si="6"/>
        <v>0</v>
      </c>
      <c r="K28" s="210">
        <f t="shared" si="9"/>
        <v>0</v>
      </c>
      <c r="L28" s="36"/>
    </row>
    <row r="29" spans="2:12" ht="30" customHeight="1" x14ac:dyDescent="0.25">
      <c r="B29" s="97" t="str">
        <f t="shared" si="8"/>
        <v>IMDD</v>
      </c>
      <c r="C29" s="98">
        <f>IF(ISTEXT(D29),MAX($C$7:$C28)+1,"")</f>
        <v>24</v>
      </c>
      <c r="D29" s="99" t="s">
        <v>11</v>
      </c>
      <c r="E29" s="193" t="s">
        <v>336</v>
      </c>
      <c r="F29" s="202" t="s">
        <v>43</v>
      </c>
      <c r="G29" s="197"/>
      <c r="H29" s="208"/>
      <c r="I29" s="214">
        <f t="shared" si="5"/>
        <v>1</v>
      </c>
      <c r="J29" s="215">
        <f t="shared" si="6"/>
        <v>0</v>
      </c>
      <c r="K29" s="210">
        <f t="shared" si="9"/>
        <v>0</v>
      </c>
      <c r="L29" s="36"/>
    </row>
    <row r="30" spans="2:12" ht="30" customHeight="1" x14ac:dyDescent="0.25">
      <c r="B30" s="97" t="str">
        <f t="shared" si="8"/>
        <v>IMDD</v>
      </c>
      <c r="C30" s="98">
        <f>IF(ISTEXT(D30),MAX($C$7:$C29)+1,"")</f>
        <v>25</v>
      </c>
      <c r="D30" s="99" t="s">
        <v>11</v>
      </c>
      <c r="E30" s="190" t="s">
        <v>337</v>
      </c>
      <c r="F30" s="202" t="s">
        <v>43</v>
      </c>
      <c r="G30" s="197"/>
      <c r="H30" s="208"/>
      <c r="I30" s="214">
        <f t="shared" si="5"/>
        <v>1</v>
      </c>
      <c r="J30" s="215">
        <f t="shared" si="6"/>
        <v>0</v>
      </c>
      <c r="K30" s="210">
        <f t="shared" si="9"/>
        <v>0</v>
      </c>
      <c r="L30" s="36"/>
    </row>
    <row r="31" spans="2:12" ht="30" customHeight="1" x14ac:dyDescent="0.25">
      <c r="B31" s="97" t="str">
        <f t="shared" si="8"/>
        <v>IMDD</v>
      </c>
      <c r="C31" s="98">
        <f>IF(ISTEXT(D31),MAX($C$7:$C30)+1,"")</f>
        <v>26</v>
      </c>
      <c r="D31" s="99" t="s">
        <v>9</v>
      </c>
      <c r="E31" s="190" t="s">
        <v>338</v>
      </c>
      <c r="F31" s="202" t="s">
        <v>43</v>
      </c>
      <c r="G31" s="197"/>
      <c r="H31" s="208"/>
      <c r="I31" s="214">
        <f t="shared" si="5"/>
        <v>3</v>
      </c>
      <c r="J31" s="215">
        <f t="shared" si="6"/>
        <v>0</v>
      </c>
      <c r="K31" s="210">
        <f t="shared" si="9"/>
        <v>0</v>
      </c>
      <c r="L31" s="36"/>
    </row>
    <row r="32" spans="2:12" ht="30" customHeight="1" x14ac:dyDescent="0.25">
      <c r="B32" s="97" t="str">
        <f t="shared" si="8"/>
        <v>IMDD</v>
      </c>
      <c r="C32" s="98">
        <f>IF(ISTEXT(D32),MAX($C$7:$C31)+1,"")</f>
        <v>27</v>
      </c>
      <c r="D32" s="99" t="s">
        <v>9</v>
      </c>
      <c r="E32" s="190" t="s">
        <v>339</v>
      </c>
      <c r="F32" s="202" t="s">
        <v>43</v>
      </c>
      <c r="G32" s="197"/>
      <c r="H32" s="208"/>
      <c r="I32" s="214">
        <f t="shared" si="5"/>
        <v>3</v>
      </c>
      <c r="J32" s="215">
        <f t="shared" si="6"/>
        <v>0</v>
      </c>
      <c r="K32" s="210">
        <f t="shared" si="9"/>
        <v>0</v>
      </c>
      <c r="L32" s="36"/>
    </row>
    <row r="33" spans="2:12" ht="30" customHeight="1" x14ac:dyDescent="0.25">
      <c r="B33" s="97" t="str">
        <f t="shared" ref="B33:B52" si="10">IF(C33="","",$B$5)</f>
        <v>IMDD</v>
      </c>
      <c r="C33" s="98">
        <f>IF(ISTEXT(D33),MAX($C$7:$C32)+1,"")</f>
        <v>28</v>
      </c>
      <c r="D33" s="99" t="s">
        <v>9</v>
      </c>
      <c r="E33" s="190" t="s">
        <v>340</v>
      </c>
      <c r="F33" s="202" t="s">
        <v>43</v>
      </c>
      <c r="G33" s="197"/>
      <c r="H33" s="208"/>
      <c r="I33" s="214">
        <f t="shared" si="5"/>
        <v>3</v>
      </c>
      <c r="J33" s="215">
        <f t="shared" si="6"/>
        <v>0</v>
      </c>
      <c r="K33" s="210">
        <f t="shared" ref="K33:K52" si="11">I33*J33</f>
        <v>0</v>
      </c>
      <c r="L33" s="36"/>
    </row>
    <row r="34" spans="2:12" ht="30" customHeight="1" x14ac:dyDescent="0.25">
      <c r="B34" s="97" t="str">
        <f t="shared" si="10"/>
        <v>IMDD</v>
      </c>
      <c r="C34" s="98">
        <f>IF(ISTEXT(D34),MAX($C$7:$C33)+1,"")</f>
        <v>29</v>
      </c>
      <c r="D34" s="99" t="s">
        <v>11</v>
      </c>
      <c r="E34" s="190" t="s">
        <v>341</v>
      </c>
      <c r="F34" s="202" t="s">
        <v>43</v>
      </c>
      <c r="G34" s="197"/>
      <c r="H34" s="208"/>
      <c r="I34" s="214">
        <f t="shared" si="5"/>
        <v>1</v>
      </c>
      <c r="J34" s="215">
        <f t="shared" si="6"/>
        <v>0</v>
      </c>
      <c r="K34" s="210">
        <f t="shared" si="11"/>
        <v>0</v>
      </c>
      <c r="L34" s="36"/>
    </row>
    <row r="35" spans="2:12" ht="42.75" x14ac:dyDescent="0.25">
      <c r="B35" s="160" t="str">
        <f t="shared" si="10"/>
        <v/>
      </c>
      <c r="C35" s="121" t="str">
        <f>IF(ISTEXT(D35),MAX($C$7:$C34)+1,"")</f>
        <v/>
      </c>
      <c r="D35" s="121"/>
      <c r="E35" s="178" t="s">
        <v>342</v>
      </c>
      <c r="F35" s="132"/>
      <c r="G35" s="123"/>
      <c r="H35" s="123"/>
      <c r="I35" s="123"/>
      <c r="J35" s="123"/>
      <c r="K35" s="123"/>
      <c r="L35" s="123"/>
    </row>
    <row r="36" spans="2:12" ht="30" customHeight="1" x14ac:dyDescent="0.25">
      <c r="B36" s="97" t="str">
        <f t="shared" si="10"/>
        <v>IMDD</v>
      </c>
      <c r="C36" s="98">
        <f>IF(ISTEXT(D36),MAX($C$7:$C34)+1,"")</f>
        <v>30</v>
      </c>
      <c r="D36" s="99" t="s">
        <v>9</v>
      </c>
      <c r="E36" s="193" t="s">
        <v>343</v>
      </c>
      <c r="F36" s="202" t="s">
        <v>43</v>
      </c>
      <c r="G36" s="197"/>
      <c r="H36" s="208"/>
      <c r="I36" s="214">
        <f t="shared" si="5"/>
        <v>3</v>
      </c>
      <c r="J36" s="215">
        <f t="shared" si="6"/>
        <v>0</v>
      </c>
      <c r="K36" s="210">
        <f t="shared" si="11"/>
        <v>0</v>
      </c>
      <c r="L36" s="36"/>
    </row>
    <row r="37" spans="2:12" ht="30" customHeight="1" x14ac:dyDescent="0.25">
      <c r="B37" s="97" t="str">
        <f t="shared" si="10"/>
        <v>IMDD</v>
      </c>
      <c r="C37" s="98">
        <f>IF(ISTEXT(D37),MAX($C$7:$C36)+1,"")</f>
        <v>31</v>
      </c>
      <c r="D37" s="99" t="s">
        <v>10</v>
      </c>
      <c r="E37" s="193" t="s">
        <v>344</v>
      </c>
      <c r="F37" s="202" t="s">
        <v>43</v>
      </c>
      <c r="G37" s="197"/>
      <c r="H37" s="208"/>
      <c r="I37" s="214">
        <f t="shared" si="5"/>
        <v>2</v>
      </c>
      <c r="J37" s="215">
        <f t="shared" si="6"/>
        <v>0</v>
      </c>
      <c r="K37" s="210">
        <f t="shared" si="11"/>
        <v>0</v>
      </c>
      <c r="L37" s="36"/>
    </row>
    <row r="38" spans="2:12" ht="30" customHeight="1" x14ac:dyDescent="0.25">
      <c r="B38" s="97" t="str">
        <f t="shared" si="10"/>
        <v>IMDD</v>
      </c>
      <c r="C38" s="98">
        <f>IF(ISTEXT(D38),MAX($C$7:$C37)+1,"")</f>
        <v>32</v>
      </c>
      <c r="D38" s="99" t="s">
        <v>10</v>
      </c>
      <c r="E38" s="193" t="s">
        <v>345</v>
      </c>
      <c r="F38" s="202" t="s">
        <v>43</v>
      </c>
      <c r="G38" s="197"/>
      <c r="H38" s="208"/>
      <c r="I38" s="214">
        <f t="shared" si="5"/>
        <v>2</v>
      </c>
      <c r="J38" s="215">
        <f t="shared" si="6"/>
        <v>0</v>
      </c>
      <c r="K38" s="210">
        <f t="shared" si="11"/>
        <v>0</v>
      </c>
      <c r="L38" s="36"/>
    </row>
    <row r="39" spans="2:12" ht="30" customHeight="1" x14ac:dyDescent="0.25">
      <c r="B39" s="97" t="str">
        <f t="shared" si="10"/>
        <v>IMDD</v>
      </c>
      <c r="C39" s="98">
        <f>IF(ISTEXT(D39),MAX($C$7:$C38)+1,"")</f>
        <v>33</v>
      </c>
      <c r="D39" s="99" t="s">
        <v>10</v>
      </c>
      <c r="E39" s="190" t="s">
        <v>346</v>
      </c>
      <c r="F39" s="202" t="s">
        <v>43</v>
      </c>
      <c r="G39" s="197"/>
      <c r="H39" s="208"/>
      <c r="I39" s="214">
        <f t="shared" si="5"/>
        <v>2</v>
      </c>
      <c r="J39" s="215">
        <f t="shared" si="6"/>
        <v>0</v>
      </c>
      <c r="K39" s="210">
        <f t="shared" si="11"/>
        <v>0</v>
      </c>
      <c r="L39" s="36"/>
    </row>
    <row r="40" spans="2:12" ht="30" customHeight="1" x14ac:dyDescent="0.25">
      <c r="B40" s="97" t="str">
        <f t="shared" si="10"/>
        <v>IMDD</v>
      </c>
      <c r="C40" s="98">
        <f>IF(ISTEXT(D40),MAX($C$7:$C39)+1,"")</f>
        <v>34</v>
      </c>
      <c r="D40" s="99" t="s">
        <v>10</v>
      </c>
      <c r="E40" s="193" t="s">
        <v>347</v>
      </c>
      <c r="F40" s="202" t="s">
        <v>43</v>
      </c>
      <c r="G40" s="197"/>
      <c r="H40" s="208"/>
      <c r="I40" s="214">
        <f t="shared" si="5"/>
        <v>2</v>
      </c>
      <c r="J40" s="215">
        <f t="shared" si="6"/>
        <v>0</v>
      </c>
      <c r="K40" s="210">
        <f t="shared" si="11"/>
        <v>0</v>
      </c>
      <c r="L40" s="36"/>
    </row>
    <row r="41" spans="2:12" ht="30" customHeight="1" x14ac:dyDescent="0.25">
      <c r="B41" s="97" t="str">
        <f t="shared" si="10"/>
        <v>IMDD</v>
      </c>
      <c r="C41" s="98">
        <f>IF(ISTEXT(D41),MAX($C$7:$C40)+1,"")</f>
        <v>35</v>
      </c>
      <c r="D41" s="99" t="s">
        <v>9</v>
      </c>
      <c r="E41" s="193" t="s">
        <v>348</v>
      </c>
      <c r="F41" s="202" t="s">
        <v>43</v>
      </c>
      <c r="G41" s="197"/>
      <c r="H41" s="208"/>
      <c r="I41" s="214">
        <f t="shared" si="5"/>
        <v>3</v>
      </c>
      <c r="J41" s="215">
        <f t="shared" si="6"/>
        <v>0</v>
      </c>
      <c r="K41" s="210">
        <f t="shared" si="11"/>
        <v>0</v>
      </c>
      <c r="L41" s="36"/>
    </row>
    <row r="42" spans="2:12" ht="30" customHeight="1" x14ac:dyDescent="0.25">
      <c r="B42" s="97" t="str">
        <f t="shared" si="10"/>
        <v>IMDD</v>
      </c>
      <c r="C42" s="98">
        <f>IF(ISTEXT(D42),MAX($C$7:$C41)+1,"")</f>
        <v>36</v>
      </c>
      <c r="D42" s="99" t="s">
        <v>10</v>
      </c>
      <c r="E42" s="193" t="s">
        <v>349</v>
      </c>
      <c r="F42" s="202" t="s">
        <v>43</v>
      </c>
      <c r="G42" s="197"/>
      <c r="H42" s="208"/>
      <c r="I42" s="214">
        <f t="shared" si="5"/>
        <v>2</v>
      </c>
      <c r="J42" s="215">
        <f t="shared" si="6"/>
        <v>0</v>
      </c>
      <c r="K42" s="210">
        <f t="shared" si="11"/>
        <v>0</v>
      </c>
      <c r="L42" s="36"/>
    </row>
    <row r="43" spans="2:12" ht="30" customHeight="1" x14ac:dyDescent="0.25">
      <c r="B43" s="97" t="str">
        <f t="shared" si="10"/>
        <v>IMDD</v>
      </c>
      <c r="C43" s="98">
        <f>IF(ISTEXT(D43),MAX($C$7:$C42)+1,"")</f>
        <v>37</v>
      </c>
      <c r="D43" s="99" t="s">
        <v>10</v>
      </c>
      <c r="E43" s="193" t="s">
        <v>350</v>
      </c>
      <c r="F43" s="202" t="s">
        <v>43</v>
      </c>
      <c r="G43" s="197"/>
      <c r="H43" s="208"/>
      <c r="I43" s="214">
        <f t="shared" si="5"/>
        <v>2</v>
      </c>
      <c r="J43" s="215">
        <f t="shared" si="6"/>
        <v>0</v>
      </c>
      <c r="K43" s="210">
        <f t="shared" si="11"/>
        <v>0</v>
      </c>
      <c r="L43" s="36"/>
    </row>
    <row r="44" spans="2:12" ht="42.75" x14ac:dyDescent="0.25">
      <c r="B44" s="97" t="str">
        <f t="shared" si="10"/>
        <v>IMDD</v>
      </c>
      <c r="C44" s="98">
        <f>IF(ISTEXT(D44),MAX($C$7:$C43)+1,"")</f>
        <v>38</v>
      </c>
      <c r="D44" s="99" t="s">
        <v>11</v>
      </c>
      <c r="E44" s="190" t="s">
        <v>425</v>
      </c>
      <c r="F44" s="202" t="s">
        <v>43</v>
      </c>
      <c r="G44" s="197"/>
      <c r="H44" s="208"/>
      <c r="I44" s="214">
        <f t="shared" si="5"/>
        <v>1</v>
      </c>
      <c r="J44" s="215">
        <f t="shared" si="6"/>
        <v>0</v>
      </c>
      <c r="K44" s="210">
        <f t="shared" si="11"/>
        <v>0</v>
      </c>
      <c r="L44" s="36"/>
    </row>
    <row r="45" spans="2:12" ht="30" customHeight="1" x14ac:dyDescent="0.25">
      <c r="B45" s="97" t="str">
        <f t="shared" si="10"/>
        <v>IMDD</v>
      </c>
      <c r="C45" s="98">
        <f>IF(ISTEXT(D45),MAX($C$7:$C44)+1,"")</f>
        <v>39</v>
      </c>
      <c r="D45" s="99" t="s">
        <v>10</v>
      </c>
      <c r="E45" s="190" t="s">
        <v>351</v>
      </c>
      <c r="F45" s="202" t="s">
        <v>43</v>
      </c>
      <c r="G45" s="197"/>
      <c r="H45" s="208"/>
      <c r="I45" s="214">
        <f t="shared" si="5"/>
        <v>2</v>
      </c>
      <c r="J45" s="215">
        <f t="shared" si="6"/>
        <v>0</v>
      </c>
      <c r="K45" s="210">
        <f t="shared" si="11"/>
        <v>0</v>
      </c>
      <c r="L45" s="36"/>
    </row>
    <row r="46" spans="2:12" ht="42.75" x14ac:dyDescent="0.25">
      <c r="B46" s="97" t="str">
        <f t="shared" si="10"/>
        <v>IMDD</v>
      </c>
      <c r="C46" s="98">
        <f>IF(ISTEXT(D46),MAX($C$7:$C45)+1,"")</f>
        <v>40</v>
      </c>
      <c r="D46" s="99" t="s">
        <v>9</v>
      </c>
      <c r="E46" s="190" t="s">
        <v>498</v>
      </c>
      <c r="F46" s="202" t="s">
        <v>43</v>
      </c>
      <c r="G46" s="197"/>
      <c r="H46" s="208"/>
      <c r="I46" s="214">
        <f t="shared" si="5"/>
        <v>3</v>
      </c>
      <c r="J46" s="215">
        <f t="shared" si="6"/>
        <v>0</v>
      </c>
      <c r="K46" s="210">
        <f t="shared" si="11"/>
        <v>0</v>
      </c>
      <c r="L46" s="36"/>
    </row>
    <row r="47" spans="2:12" ht="30" customHeight="1" x14ac:dyDescent="0.25">
      <c r="B47" s="97" t="str">
        <f t="shared" si="10"/>
        <v>IMDD</v>
      </c>
      <c r="C47" s="98">
        <f>IF(ISTEXT(D47),MAX($C$7:$C46)+1,"")</f>
        <v>41</v>
      </c>
      <c r="D47" s="99" t="s">
        <v>9</v>
      </c>
      <c r="E47" s="190" t="s">
        <v>352</v>
      </c>
      <c r="F47" s="202" t="s">
        <v>43</v>
      </c>
      <c r="G47" s="197"/>
      <c r="H47" s="208"/>
      <c r="I47" s="214">
        <f t="shared" si="5"/>
        <v>3</v>
      </c>
      <c r="J47" s="215">
        <f t="shared" si="6"/>
        <v>0</v>
      </c>
      <c r="K47" s="210">
        <f t="shared" si="11"/>
        <v>0</v>
      </c>
      <c r="L47" s="36"/>
    </row>
    <row r="48" spans="2:12" ht="30" customHeight="1" x14ac:dyDescent="0.25">
      <c r="B48" s="97" t="str">
        <f t="shared" si="10"/>
        <v>IMDD</v>
      </c>
      <c r="C48" s="98">
        <f>IF(ISTEXT(D48),MAX($C$7:$C47)+1,"")</f>
        <v>42</v>
      </c>
      <c r="D48" s="99" t="s">
        <v>11</v>
      </c>
      <c r="E48" s="190" t="s">
        <v>499</v>
      </c>
      <c r="F48" s="202" t="s">
        <v>43</v>
      </c>
      <c r="G48" s="197"/>
      <c r="H48" s="208"/>
      <c r="I48" s="214">
        <f t="shared" si="5"/>
        <v>1</v>
      </c>
      <c r="J48" s="215">
        <f t="shared" si="6"/>
        <v>0</v>
      </c>
      <c r="K48" s="210">
        <f t="shared" si="11"/>
        <v>0</v>
      </c>
      <c r="L48" s="36"/>
    </row>
    <row r="49" spans="2:12" ht="30" customHeight="1" x14ac:dyDescent="0.25">
      <c r="B49" s="160" t="str">
        <f t="shared" si="10"/>
        <v/>
      </c>
      <c r="C49" s="121" t="str">
        <f>IF(ISTEXT(D49),MAX($C$7:$C48)+1,"")</f>
        <v/>
      </c>
      <c r="D49" s="121"/>
      <c r="E49" s="178" t="s">
        <v>426</v>
      </c>
      <c r="F49" s="132"/>
      <c r="G49" s="123"/>
      <c r="H49" s="123"/>
      <c r="I49" s="123"/>
      <c r="J49" s="123"/>
      <c r="K49" s="123"/>
      <c r="L49" s="123"/>
    </row>
    <row r="50" spans="2:12" ht="30" customHeight="1" x14ac:dyDescent="0.25">
      <c r="B50" s="97" t="str">
        <f t="shared" si="10"/>
        <v>IMDD</v>
      </c>
      <c r="C50" s="98">
        <f>IF(ISTEXT(D50),MAX($C$7:$C48)+1,"")</f>
        <v>43</v>
      </c>
      <c r="D50" s="99" t="s">
        <v>9</v>
      </c>
      <c r="E50" s="193" t="s">
        <v>353</v>
      </c>
      <c r="F50" s="202" t="s">
        <v>43</v>
      </c>
      <c r="G50" s="197"/>
      <c r="H50" s="208"/>
      <c r="I50" s="214">
        <f t="shared" si="5"/>
        <v>3</v>
      </c>
      <c r="J50" s="215">
        <f t="shared" si="6"/>
        <v>0</v>
      </c>
      <c r="K50" s="210">
        <f t="shared" si="11"/>
        <v>0</v>
      </c>
      <c r="L50" s="36"/>
    </row>
    <row r="51" spans="2:12" ht="30" customHeight="1" x14ac:dyDescent="0.25">
      <c r="B51" s="97" t="str">
        <f t="shared" si="10"/>
        <v>IMDD</v>
      </c>
      <c r="C51" s="98">
        <f>IF(ISTEXT(D51),MAX($C$7:$C50)+1,"")</f>
        <v>44</v>
      </c>
      <c r="D51" s="99" t="s">
        <v>41</v>
      </c>
      <c r="E51" s="193" t="s">
        <v>354</v>
      </c>
      <c r="F51" s="109" t="s">
        <v>43</v>
      </c>
      <c r="G51" s="102"/>
      <c r="H51" s="114"/>
      <c r="I51" s="117">
        <f t="shared" si="5"/>
        <v>0</v>
      </c>
      <c r="J51" s="118">
        <f t="shared" si="6"/>
        <v>0</v>
      </c>
      <c r="K51" s="116">
        <f t="shared" si="11"/>
        <v>0</v>
      </c>
      <c r="L51" s="107"/>
    </row>
    <row r="52" spans="2:12" ht="30" customHeight="1" x14ac:dyDescent="0.25">
      <c r="B52" s="97" t="str">
        <f t="shared" si="10"/>
        <v>IMDD</v>
      </c>
      <c r="C52" s="98">
        <f>IF(ISTEXT(D52),MAX($C$7:$C51)+1,"")</f>
        <v>45</v>
      </c>
      <c r="D52" s="99" t="s">
        <v>41</v>
      </c>
      <c r="E52" s="193" t="s">
        <v>355</v>
      </c>
      <c r="F52" s="109" t="s">
        <v>43</v>
      </c>
      <c r="G52" s="102"/>
      <c r="H52" s="114"/>
      <c r="I52" s="117">
        <f t="shared" si="5"/>
        <v>0</v>
      </c>
      <c r="J52" s="118">
        <f t="shared" si="6"/>
        <v>0</v>
      </c>
      <c r="K52" s="116">
        <f t="shared" si="11"/>
        <v>0</v>
      </c>
      <c r="L52" s="107"/>
    </row>
    <row r="53" spans="2:12" ht="30" customHeight="1" x14ac:dyDescent="0.25">
      <c r="B53" s="97" t="str">
        <f t="shared" ref="B53:B56" si="12">IF(C53="","",$B$5)</f>
        <v>IMDD</v>
      </c>
      <c r="C53" s="98">
        <f>IF(ISTEXT(D53),MAX($C$7:$C52)+1,"")</f>
        <v>46</v>
      </c>
      <c r="D53" s="99" t="s">
        <v>11</v>
      </c>
      <c r="E53" s="193" t="s">
        <v>356</v>
      </c>
      <c r="F53" s="202" t="s">
        <v>43</v>
      </c>
      <c r="G53" s="197"/>
      <c r="H53" s="208"/>
      <c r="I53" s="214">
        <f t="shared" si="5"/>
        <v>1</v>
      </c>
      <c r="J53" s="215">
        <f t="shared" si="6"/>
        <v>0</v>
      </c>
      <c r="K53" s="210">
        <f t="shared" ref="K53:K56" si="13">I53*J53</f>
        <v>0</v>
      </c>
      <c r="L53" s="36"/>
    </row>
    <row r="54" spans="2:12" ht="30" customHeight="1" x14ac:dyDescent="0.25">
      <c r="B54" s="97" t="str">
        <f t="shared" si="12"/>
        <v>IMDD</v>
      </c>
      <c r="C54" s="98">
        <f>IF(ISTEXT(D54),MAX($C$7:$C53)+1,"")</f>
        <v>47</v>
      </c>
      <c r="D54" s="99" t="s">
        <v>10</v>
      </c>
      <c r="E54" s="190" t="s">
        <v>427</v>
      </c>
      <c r="F54" s="202" t="s">
        <v>43</v>
      </c>
      <c r="G54" s="197"/>
      <c r="H54" s="208"/>
      <c r="I54" s="214">
        <f t="shared" si="5"/>
        <v>2</v>
      </c>
      <c r="J54" s="215">
        <f t="shared" si="6"/>
        <v>0</v>
      </c>
      <c r="K54" s="210">
        <f t="shared" si="13"/>
        <v>0</v>
      </c>
      <c r="L54" s="36"/>
    </row>
    <row r="55" spans="2:12" ht="42.75" x14ac:dyDescent="0.25">
      <c r="B55" s="97" t="str">
        <f t="shared" si="12"/>
        <v>IMDD</v>
      </c>
      <c r="C55" s="98">
        <f>IF(ISTEXT(D55),MAX($C$7:$C54)+1,"")</f>
        <v>48</v>
      </c>
      <c r="D55" s="99" t="s">
        <v>9</v>
      </c>
      <c r="E55" s="190" t="s">
        <v>532</v>
      </c>
      <c r="F55" s="202" t="s">
        <v>43</v>
      </c>
      <c r="G55" s="197"/>
      <c r="H55" s="208"/>
      <c r="I55" s="214">
        <f t="shared" si="5"/>
        <v>3</v>
      </c>
      <c r="J55" s="215">
        <f t="shared" si="6"/>
        <v>0</v>
      </c>
      <c r="K55" s="210">
        <f t="shared" si="13"/>
        <v>0</v>
      </c>
      <c r="L55" s="36"/>
    </row>
    <row r="56" spans="2:12" ht="30" customHeight="1" x14ac:dyDescent="0.25">
      <c r="B56" s="97" t="str">
        <f t="shared" si="12"/>
        <v>IMDD</v>
      </c>
      <c r="C56" s="98">
        <f>IF(ISTEXT(D56),MAX($C$7:$C55)+1,"")</f>
        <v>49</v>
      </c>
      <c r="D56" s="99" t="s">
        <v>9</v>
      </c>
      <c r="E56" s="190" t="s">
        <v>533</v>
      </c>
      <c r="F56" s="202" t="s">
        <v>43</v>
      </c>
      <c r="G56" s="197"/>
      <c r="H56" s="208"/>
      <c r="I56" s="214">
        <f t="shared" si="5"/>
        <v>3</v>
      </c>
      <c r="J56" s="215">
        <f t="shared" si="6"/>
        <v>0</v>
      </c>
      <c r="K56" s="210">
        <f t="shared" si="13"/>
        <v>0</v>
      </c>
      <c r="L56" s="36"/>
    </row>
    <row r="57" spans="2:12" ht="9" customHeight="1" x14ac:dyDescent="0.25"/>
  </sheetData>
  <sheetProtection algorithmName="SHA-512" hashValue="rtdz+jhn8sc2EZwFVovQPcplnoNvoZCRft9MXvY8N/SQwoLQAdjPhoJUXYo5GfE/Tz0F8/mrLxMbccy9XnmvPw==" saltValue="l1SdcfYyESN4gxI+9M2Emw==" spinCount="100000" sheet="1" selectLockedCells="1"/>
  <conditionalFormatting sqref="D5:D26">
    <cfRule type="cellIs" dxfId="20" priority="76" operator="equal">
      <formula>"Important"</formula>
    </cfRule>
    <cfRule type="cellIs" dxfId="19" priority="77" operator="equal">
      <formula>"Crucial"</formula>
    </cfRule>
    <cfRule type="cellIs" dxfId="18" priority="78" operator="equal">
      <formula>"N/A"</formula>
    </cfRule>
  </conditionalFormatting>
  <conditionalFormatting sqref="D28:D34">
    <cfRule type="cellIs" dxfId="17" priority="10" operator="equal">
      <formula>"Important"</formula>
    </cfRule>
    <cfRule type="cellIs" dxfId="16" priority="11" operator="equal">
      <formula>"Crucial"</formula>
    </cfRule>
    <cfRule type="cellIs" dxfId="15" priority="12" operator="equal">
      <formula>"N/A"</formula>
    </cfRule>
  </conditionalFormatting>
  <conditionalFormatting sqref="D36:D48">
    <cfRule type="cellIs" dxfId="14" priority="1" operator="equal">
      <formula>"Important"</formula>
    </cfRule>
    <cfRule type="cellIs" dxfId="13" priority="2" operator="equal">
      <formula>"Crucial"</formula>
    </cfRule>
    <cfRule type="cellIs" dxfId="12" priority="3" operator="equal">
      <formula>"N/A"</formula>
    </cfRule>
  </conditionalFormatting>
  <conditionalFormatting sqref="D50:D56">
    <cfRule type="cellIs" dxfId="11" priority="22" operator="equal">
      <formula>"Important"</formula>
    </cfRule>
    <cfRule type="cellIs" dxfId="10" priority="23" operator="equal">
      <formula>"Crucial"</formula>
    </cfRule>
    <cfRule type="cellIs" dxfId="9" priority="24" operator="equal">
      <formula>"N/A"</formula>
    </cfRule>
  </conditionalFormatting>
  <conditionalFormatting sqref="F5:F56">
    <cfRule type="cellIs" dxfId="8" priority="13" operator="equal">
      <formula>"Function Not Available"</formula>
    </cfRule>
    <cfRule type="cellIs" dxfId="7" priority="14" operator="equal">
      <formula>"Function Available"</formula>
    </cfRule>
    <cfRule type="cellIs" dxfId="6" priority="15" operator="equal">
      <formula>"Exception"</formula>
    </cfRule>
  </conditionalFormatting>
  <dataValidations count="3">
    <dataValidation type="list" allowBlank="1" showInputMessage="1" showErrorMessage="1" errorTitle="Invalid specification type" error="Please enter a Specification type from the drop-down list." sqref="F7:F26 F28:F34 F36:F48 F50:F56" xr:uid="{00000000-0002-0000-0700-000000000000}">
      <formula1>AvailabilityType</formula1>
    </dataValidation>
    <dataValidation type="list" allowBlank="1" showInputMessage="1" showErrorMessage="1" sqref="D50:D56 D5:D26 D28:D34 D36:D48" xr:uid="{826EA373-0299-4173-A7A0-FA7B25E1D4A2}">
      <formula1>SpecType</formula1>
    </dataValidation>
    <dataValidation type="list" allowBlank="1" showInputMessage="1" showErrorMessage="1" sqref="F5:F6" xr:uid="{00000000-0002-0000-0700-000003000000}">
      <formula1>AvailabilityType</formula1>
    </dataValidation>
  </dataValidations>
  <pageMargins left="0.7" right="0.7" top="0.75" bottom="0.75" header="0.3" footer="0.3"/>
  <pageSetup scale="45" fitToHeight="0" orientation="portrait" r:id="rId1"/>
  <headerFooter>
    <oddHeader>&amp;CGCCDA
&amp;F&amp;R&amp;A</oddHeader>
    <oddFooter>&amp;LTSSI Consulting LLC, March 2026&amp;CPage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M23"/>
  <sheetViews>
    <sheetView showGridLines="0" zoomScale="80" zoomScaleNormal="80" zoomScalePageLayoutView="40" workbookViewId="0">
      <selection activeCell="F4" sqref="F4"/>
    </sheetView>
  </sheetViews>
  <sheetFormatPr defaultColWidth="0" defaultRowHeight="15" zeroHeight="1" x14ac:dyDescent="0.25"/>
  <cols>
    <col min="1" max="1" width="1.28515625" customWidth="1"/>
    <col min="2" max="2" width="11.7109375" customWidth="1"/>
    <col min="3" max="3" width="11.42578125" customWidth="1"/>
    <col min="4" max="4" width="23.85546875" customWidth="1"/>
    <col min="5" max="5" width="65.7109375" customWidth="1"/>
    <col min="6" max="6" width="29.42578125" customWidth="1"/>
    <col min="7" max="7" width="15.42578125" style="77" hidden="1" customWidth="1"/>
    <col min="8" max="11" width="12.7109375" hidden="1" customWidth="1"/>
    <col min="12" max="12" width="55.42578125" customWidth="1"/>
    <col min="13" max="13" width="3" customWidth="1"/>
    <col min="14" max="16384" width="9.140625" hidden="1"/>
  </cols>
  <sheetData>
    <row r="1" spans="2:12" ht="5.65" customHeight="1" x14ac:dyDescent="0.25"/>
    <row r="2" spans="2:12" s="78" customFormat="1" ht="129" customHeight="1" thickBot="1" x14ac:dyDescent="0.25">
      <c r="B2" s="135" t="s">
        <v>44</v>
      </c>
      <c r="C2" s="136" t="s">
        <v>45</v>
      </c>
      <c r="D2" s="136" t="s">
        <v>46</v>
      </c>
      <c r="E2" s="136" t="s">
        <v>357</v>
      </c>
      <c r="F2" s="136" t="s">
        <v>42</v>
      </c>
      <c r="G2" s="137" t="s">
        <v>48</v>
      </c>
      <c r="H2" s="137" t="s">
        <v>49</v>
      </c>
      <c r="I2" s="138" t="s">
        <v>50</v>
      </c>
      <c r="J2" s="138" t="s">
        <v>51</v>
      </c>
      <c r="K2" s="139" t="s">
        <v>14</v>
      </c>
      <c r="L2" s="140" t="s">
        <v>52</v>
      </c>
    </row>
    <row r="3" spans="2:12" ht="16.5" thickBot="1" x14ac:dyDescent="0.3">
      <c r="B3" s="129" t="s">
        <v>358</v>
      </c>
      <c r="C3" s="129"/>
      <c r="D3" s="129"/>
      <c r="E3" s="129"/>
      <c r="F3" s="129"/>
      <c r="G3" s="127" t="s">
        <v>54</v>
      </c>
      <c r="H3" s="130">
        <f>COUNTA(D4:D501)</f>
        <v>19</v>
      </c>
      <c r="I3" s="88"/>
      <c r="J3" s="89" t="s">
        <v>55</v>
      </c>
      <c r="K3" s="131">
        <f>SUM(K4:K501)</f>
        <v>0</v>
      </c>
      <c r="L3" s="129"/>
    </row>
    <row r="4" spans="2:12" ht="66" customHeight="1" x14ac:dyDescent="0.25">
      <c r="B4" s="184" t="s">
        <v>359</v>
      </c>
      <c r="C4" s="98">
        <v>1</v>
      </c>
      <c r="D4" s="99" t="s">
        <v>9</v>
      </c>
      <c r="E4" s="190" t="s">
        <v>360</v>
      </c>
      <c r="F4" s="196" t="s">
        <v>43</v>
      </c>
      <c r="G4" s="197" t="s">
        <v>59</v>
      </c>
      <c r="H4" s="198">
        <f>COUNTIF(F4:F501,"Select from Drop Down")</f>
        <v>19</v>
      </c>
      <c r="I4" s="199">
        <f>VLOOKUP($D4,SpecData,2,FALSE)</f>
        <v>3</v>
      </c>
      <c r="J4" s="200">
        <f>VLOOKUP($F4,AvailabilityData,2,FALSE)</f>
        <v>0</v>
      </c>
      <c r="K4" s="201">
        <f>I4*J4</f>
        <v>0</v>
      </c>
      <c r="L4" s="40"/>
    </row>
    <row r="5" spans="2:12" ht="50.25" customHeight="1" x14ac:dyDescent="0.25">
      <c r="B5" s="184" t="str">
        <f>IF(C5="","",$B$4)</f>
        <v>MNCIC</v>
      </c>
      <c r="C5" s="98">
        <v>2</v>
      </c>
      <c r="D5" s="99" t="s">
        <v>9</v>
      </c>
      <c r="E5" s="190" t="s">
        <v>361</v>
      </c>
      <c r="F5" s="202" t="s">
        <v>43</v>
      </c>
      <c r="G5" s="197" t="s">
        <v>61</v>
      </c>
      <c r="H5" s="198">
        <f>COUNTIF(F4:F501,"Function Available")</f>
        <v>0</v>
      </c>
      <c r="I5" s="199">
        <f>VLOOKUP($D5,SpecData,2,FALSE)</f>
        <v>3</v>
      </c>
      <c r="J5" s="200">
        <f>VLOOKUP($F5,AvailabilityData,2,FALSE)</f>
        <v>0</v>
      </c>
      <c r="K5" s="201">
        <f>I5*J5</f>
        <v>0</v>
      </c>
      <c r="L5" s="40"/>
    </row>
    <row r="6" spans="2:12" ht="33.75" customHeight="1" x14ac:dyDescent="0.25">
      <c r="B6" s="184" t="str">
        <f t="shared" ref="B6:B22" si="0">IF(C6="","",$B$4)</f>
        <v>MNCIC</v>
      </c>
      <c r="C6" s="98">
        <v>3</v>
      </c>
      <c r="D6" s="99" t="s">
        <v>9</v>
      </c>
      <c r="E6" s="190" t="s">
        <v>362</v>
      </c>
      <c r="F6" s="196" t="s">
        <v>43</v>
      </c>
      <c r="G6" s="197" t="s">
        <v>63</v>
      </c>
      <c r="H6" s="208">
        <f>COUNTIF(F4:F501,"Function Not Available")</f>
        <v>0</v>
      </c>
      <c r="I6" s="199">
        <f t="shared" ref="I6:I12" si="1">VLOOKUP($D6,SpecData,2,FALSE)</f>
        <v>3</v>
      </c>
      <c r="J6" s="200">
        <f t="shared" ref="J6:J12" si="2">VLOOKUP($F6,AvailabilityData,2,FALSE)</f>
        <v>0</v>
      </c>
      <c r="K6" s="210">
        <f t="shared" ref="K6:K12" si="3">I6*J6</f>
        <v>0</v>
      </c>
      <c r="L6" s="40"/>
    </row>
    <row r="7" spans="2:12" ht="34.5" customHeight="1" x14ac:dyDescent="0.25">
      <c r="B7" s="184" t="str">
        <f t="shared" si="0"/>
        <v>MNCIC</v>
      </c>
      <c r="C7" s="98">
        <f>IF(ISTEXT(D7),MAX($C$6:$C6)+1,"")</f>
        <v>4</v>
      </c>
      <c r="D7" s="99" t="s">
        <v>10</v>
      </c>
      <c r="E7" s="190" t="s">
        <v>363</v>
      </c>
      <c r="F7" s="202" t="s">
        <v>43</v>
      </c>
      <c r="G7" s="197" t="s">
        <v>65</v>
      </c>
      <c r="H7" s="208">
        <f>COUNTIF(F4:F501,"Exception")</f>
        <v>0</v>
      </c>
      <c r="I7" s="199">
        <f t="shared" si="1"/>
        <v>2</v>
      </c>
      <c r="J7" s="200">
        <f t="shared" si="2"/>
        <v>0</v>
      </c>
      <c r="K7" s="201">
        <f t="shared" si="3"/>
        <v>0</v>
      </c>
      <c r="L7" s="40"/>
    </row>
    <row r="8" spans="2:12" ht="33.75" customHeight="1" x14ac:dyDescent="0.25">
      <c r="B8" s="184" t="str">
        <f t="shared" si="0"/>
        <v>MNCIC</v>
      </c>
      <c r="C8" s="98">
        <f>IF(ISTEXT(D8),MAX($C$6:$C7)+1,"")</f>
        <v>5</v>
      </c>
      <c r="D8" s="99" t="s">
        <v>10</v>
      </c>
      <c r="E8" s="190" t="s">
        <v>364</v>
      </c>
      <c r="F8" s="196" t="s">
        <v>43</v>
      </c>
      <c r="G8" s="197" t="s">
        <v>66</v>
      </c>
      <c r="H8" s="209">
        <f>COUNTIFS(D:D,"=Crucial",F:F,"=Select From Drop Down")</f>
        <v>12</v>
      </c>
      <c r="I8" s="199">
        <f t="shared" si="1"/>
        <v>2</v>
      </c>
      <c r="J8" s="200">
        <f t="shared" si="2"/>
        <v>0</v>
      </c>
      <c r="K8" s="210">
        <f t="shared" si="3"/>
        <v>0</v>
      </c>
      <c r="L8" s="40"/>
    </row>
    <row r="9" spans="2:12" ht="33" customHeight="1" x14ac:dyDescent="0.25">
      <c r="B9" s="184" t="str">
        <f t="shared" si="0"/>
        <v>MNCIC</v>
      </c>
      <c r="C9" s="98">
        <f>IF(ISTEXT(D9),MAX($C$6:$C8)+1,"")</f>
        <v>6</v>
      </c>
      <c r="D9" s="99" t="s">
        <v>10</v>
      </c>
      <c r="E9" s="190" t="s">
        <v>365</v>
      </c>
      <c r="F9" s="202" t="s">
        <v>43</v>
      </c>
      <c r="G9" s="197" t="s">
        <v>67</v>
      </c>
      <c r="H9" s="209">
        <f>COUNTIFS(D:D,"=Crucial",F:F,"=Function Available")</f>
        <v>0</v>
      </c>
      <c r="I9" s="199">
        <f t="shared" si="1"/>
        <v>2</v>
      </c>
      <c r="J9" s="200">
        <f t="shared" si="2"/>
        <v>0</v>
      </c>
      <c r="K9" s="210">
        <f t="shared" si="3"/>
        <v>0</v>
      </c>
      <c r="L9" s="40"/>
    </row>
    <row r="10" spans="2:12" ht="33.75" customHeight="1" x14ac:dyDescent="0.25">
      <c r="B10" s="184" t="str">
        <f t="shared" si="0"/>
        <v>MNCIC</v>
      </c>
      <c r="C10" s="98">
        <f>IF(ISTEXT(D10),MAX($C$6:$C9)+1,"")</f>
        <v>7</v>
      </c>
      <c r="D10" s="99" t="s">
        <v>9</v>
      </c>
      <c r="E10" s="190" t="s">
        <v>366</v>
      </c>
      <c r="F10" s="196" t="s">
        <v>43</v>
      </c>
      <c r="G10" s="197" t="s">
        <v>69</v>
      </c>
      <c r="H10" s="209">
        <f>COUNTIFS(D:D,"=Crucial",F:F,"=Function Not Available")</f>
        <v>0</v>
      </c>
      <c r="I10" s="199">
        <f t="shared" si="1"/>
        <v>3</v>
      </c>
      <c r="J10" s="200">
        <f t="shared" si="2"/>
        <v>0</v>
      </c>
      <c r="K10" s="210">
        <f t="shared" si="3"/>
        <v>0</v>
      </c>
      <c r="L10" s="40"/>
    </row>
    <row r="11" spans="2:12" ht="47.25" customHeight="1" x14ac:dyDescent="0.25">
      <c r="B11" s="184" t="str">
        <f t="shared" si="0"/>
        <v>MNCIC</v>
      </c>
      <c r="C11" s="98">
        <f>IF(ISTEXT(D11),MAX($C$6:$C10)+1,"")</f>
        <v>8</v>
      </c>
      <c r="D11" s="99" t="s">
        <v>11</v>
      </c>
      <c r="E11" s="190" t="s">
        <v>367</v>
      </c>
      <c r="F11" s="202" t="s">
        <v>43</v>
      </c>
      <c r="G11" s="203" t="s">
        <v>71</v>
      </c>
      <c r="H11" s="262">
        <f>COUNTIFS(D:D,"=Crucial",F:F,"=Exception")</f>
        <v>0</v>
      </c>
      <c r="I11" s="199">
        <f t="shared" si="1"/>
        <v>1</v>
      </c>
      <c r="J11" s="200">
        <f t="shared" si="2"/>
        <v>0</v>
      </c>
      <c r="K11" s="207">
        <f t="shared" si="3"/>
        <v>0</v>
      </c>
      <c r="L11" s="41"/>
    </row>
    <row r="12" spans="2:12" ht="30" customHeight="1" x14ac:dyDescent="0.25">
      <c r="B12" s="184" t="str">
        <f t="shared" si="0"/>
        <v>MNCIC</v>
      </c>
      <c r="C12" s="98">
        <f>IF(ISTEXT(D12),MAX($C$6:$C11)+1,"")</f>
        <v>9</v>
      </c>
      <c r="D12" s="99" t="s">
        <v>9</v>
      </c>
      <c r="E12" s="190" t="s">
        <v>368</v>
      </c>
      <c r="F12" s="196" t="s">
        <v>43</v>
      </c>
      <c r="G12" s="197" t="s">
        <v>72</v>
      </c>
      <c r="H12" s="209">
        <f>COUNTIFS(D:D,"=Important",F:F,"=Select From Drop Down")</f>
        <v>5</v>
      </c>
      <c r="I12" s="199">
        <f t="shared" si="1"/>
        <v>3</v>
      </c>
      <c r="J12" s="200">
        <f t="shared" si="2"/>
        <v>0</v>
      </c>
      <c r="K12" s="210">
        <f t="shared" si="3"/>
        <v>0</v>
      </c>
      <c r="L12" s="41"/>
    </row>
    <row r="13" spans="2:12" ht="33.75" customHeight="1" x14ac:dyDescent="0.25">
      <c r="B13" s="184" t="str">
        <f t="shared" si="0"/>
        <v>MNCIC</v>
      </c>
      <c r="C13" s="98">
        <f>IF(ISTEXT(D13),MAX($C$6:$C12)+1,"")</f>
        <v>10</v>
      </c>
      <c r="D13" s="99" t="s">
        <v>10</v>
      </c>
      <c r="E13" s="190" t="s">
        <v>369</v>
      </c>
      <c r="F13" s="202" t="s">
        <v>43</v>
      </c>
      <c r="G13" s="203" t="s">
        <v>74</v>
      </c>
      <c r="H13" s="262">
        <f>COUNTIFS(D:D,"=Important",F:F,"=Function Available")</f>
        <v>0</v>
      </c>
      <c r="I13" s="205">
        <f t="shared" ref="I13:I22" si="4">VLOOKUP($D13,SpecData,2,FALSE)</f>
        <v>2</v>
      </c>
      <c r="J13" s="206">
        <f t="shared" ref="J13:J22" si="5">VLOOKUP($F13,AvailabilityData,2,FALSE)</f>
        <v>0</v>
      </c>
      <c r="K13" s="207">
        <f t="shared" ref="K13:K22" si="6">I13*J13</f>
        <v>0</v>
      </c>
      <c r="L13" s="43"/>
    </row>
    <row r="14" spans="2:12" ht="30" customHeight="1" x14ac:dyDescent="0.25">
      <c r="B14" s="184" t="str">
        <f t="shared" si="0"/>
        <v>MNCIC</v>
      </c>
      <c r="C14" s="98">
        <f>IF(ISTEXT(D14),MAX($C$6:$C13)+1,"")</f>
        <v>11</v>
      </c>
      <c r="D14" s="99" t="s">
        <v>9</v>
      </c>
      <c r="E14" s="190" t="s">
        <v>534</v>
      </c>
      <c r="F14" s="196" t="s">
        <v>43</v>
      </c>
      <c r="G14" s="220" t="s">
        <v>76</v>
      </c>
      <c r="H14" s="221">
        <f>COUNTIFS(D:D,"=Important",F:F,"=Function Not Available")</f>
        <v>0</v>
      </c>
      <c r="I14" s="211">
        <f t="shared" si="4"/>
        <v>3</v>
      </c>
      <c r="J14" s="212">
        <f t="shared" si="5"/>
        <v>0</v>
      </c>
      <c r="K14" s="213">
        <f t="shared" si="6"/>
        <v>0</v>
      </c>
      <c r="L14" s="40"/>
    </row>
    <row r="15" spans="2:12" ht="30" customHeight="1" x14ac:dyDescent="0.25">
      <c r="B15" s="184" t="str">
        <f t="shared" si="0"/>
        <v>MNCIC</v>
      </c>
      <c r="C15" s="98">
        <f>IF(ISTEXT(D15),MAX($C$6:$C14)+1,"")</f>
        <v>12</v>
      </c>
      <c r="D15" s="99" t="s">
        <v>11</v>
      </c>
      <c r="E15" s="190" t="s">
        <v>370</v>
      </c>
      <c r="F15" s="202" t="s">
        <v>43</v>
      </c>
      <c r="G15" s="218" t="s">
        <v>77</v>
      </c>
      <c r="H15" s="263">
        <f>COUNTIFS(D:D,"=Important",F:F,"=Exception")</f>
        <v>0</v>
      </c>
      <c r="I15" s="199">
        <f t="shared" si="4"/>
        <v>1</v>
      </c>
      <c r="J15" s="200">
        <f t="shared" si="5"/>
        <v>0</v>
      </c>
      <c r="K15" s="201">
        <f t="shared" si="6"/>
        <v>0</v>
      </c>
      <c r="L15" s="40"/>
    </row>
    <row r="16" spans="2:12" ht="48.75" customHeight="1" x14ac:dyDescent="0.25">
      <c r="B16" s="184" t="str">
        <f t="shared" si="0"/>
        <v>MNCIC</v>
      </c>
      <c r="C16" s="98">
        <f>IF(ISTEXT(D16),MAX($C$6:$C15)+1,"")</f>
        <v>13</v>
      </c>
      <c r="D16" s="99" t="s">
        <v>10</v>
      </c>
      <c r="E16" s="190" t="s">
        <v>371</v>
      </c>
      <c r="F16" s="196" t="s">
        <v>43</v>
      </c>
      <c r="G16" s="197" t="s">
        <v>79</v>
      </c>
      <c r="H16" s="209">
        <f>COUNTIFS(D:D,"=Minimal",F:F,"=Select From Drop Down")</f>
        <v>2</v>
      </c>
      <c r="I16" s="214">
        <f t="shared" si="4"/>
        <v>2</v>
      </c>
      <c r="J16" s="215">
        <f t="shared" si="5"/>
        <v>0</v>
      </c>
      <c r="K16" s="210">
        <f t="shared" si="6"/>
        <v>0</v>
      </c>
      <c r="L16" s="40"/>
    </row>
    <row r="17" spans="2:12" ht="30" customHeight="1" x14ac:dyDescent="0.25">
      <c r="B17" s="184" t="str">
        <f t="shared" si="0"/>
        <v>MNCIC</v>
      </c>
      <c r="C17" s="98">
        <f>IF(ISTEXT(D17),MAX($C$6:$C16)+1,"")</f>
        <v>14</v>
      </c>
      <c r="D17" s="99" t="s">
        <v>9</v>
      </c>
      <c r="E17" s="190" t="s">
        <v>372</v>
      </c>
      <c r="F17" s="202" t="s">
        <v>43</v>
      </c>
      <c r="G17" s="197" t="s">
        <v>82</v>
      </c>
      <c r="H17" s="209">
        <f>COUNTIFS(D:D,"=Minimal",F:F,"=Function Available")</f>
        <v>0</v>
      </c>
      <c r="I17" s="214">
        <f t="shared" si="4"/>
        <v>3</v>
      </c>
      <c r="J17" s="215">
        <f t="shared" si="5"/>
        <v>0</v>
      </c>
      <c r="K17" s="210">
        <f t="shared" si="6"/>
        <v>0</v>
      </c>
      <c r="L17" s="40"/>
    </row>
    <row r="18" spans="2:12" ht="48.75" customHeight="1" x14ac:dyDescent="0.25">
      <c r="B18" s="184" t="str">
        <f t="shared" si="0"/>
        <v>MNCIC</v>
      </c>
      <c r="C18" s="98">
        <f>IF(ISTEXT(D18),MAX($C$6:$C17)+1,"")</f>
        <v>15</v>
      </c>
      <c r="D18" s="99" t="s">
        <v>9</v>
      </c>
      <c r="E18" s="190" t="s">
        <v>373</v>
      </c>
      <c r="F18" s="196" t="s">
        <v>43</v>
      </c>
      <c r="G18" s="197" t="s">
        <v>84</v>
      </c>
      <c r="H18" s="209">
        <f>COUNTIFS(D:D,"=Minimal",F:F,"=Function Not Available")</f>
        <v>0</v>
      </c>
      <c r="I18" s="214">
        <f t="shared" si="4"/>
        <v>3</v>
      </c>
      <c r="J18" s="215">
        <f t="shared" si="5"/>
        <v>0</v>
      </c>
      <c r="K18" s="210">
        <f t="shared" si="6"/>
        <v>0</v>
      </c>
      <c r="L18" s="40"/>
    </row>
    <row r="19" spans="2:12" ht="30" customHeight="1" x14ac:dyDescent="0.25">
      <c r="B19" s="184" t="str">
        <f t="shared" si="0"/>
        <v>MNCIC</v>
      </c>
      <c r="C19" s="98">
        <f>IF(ISTEXT(D19),MAX($C$6:$C18)+1,"")</f>
        <v>16</v>
      </c>
      <c r="D19" s="99" t="s">
        <v>9</v>
      </c>
      <c r="E19" s="190" t="s">
        <v>374</v>
      </c>
      <c r="F19" s="202" t="s">
        <v>43</v>
      </c>
      <c r="G19" s="197" t="s">
        <v>86</v>
      </c>
      <c r="H19" s="209">
        <f>COUNTIFS(D:D,"=Minimal",F:F,"=Exception")</f>
        <v>0</v>
      </c>
      <c r="I19" s="214">
        <f t="shared" si="4"/>
        <v>3</v>
      </c>
      <c r="J19" s="215">
        <f t="shared" si="5"/>
        <v>0</v>
      </c>
      <c r="K19" s="210">
        <f t="shared" si="6"/>
        <v>0</v>
      </c>
      <c r="L19" s="40"/>
    </row>
    <row r="20" spans="2:12" ht="48.75" customHeight="1" x14ac:dyDescent="0.25">
      <c r="B20" s="184" t="str">
        <f t="shared" si="0"/>
        <v>MNCIC</v>
      </c>
      <c r="C20" s="98">
        <f>IF(ISTEXT(D20),MAX($C$6:$C19)+1,"")</f>
        <v>17</v>
      </c>
      <c r="D20" s="99" t="s">
        <v>9</v>
      </c>
      <c r="E20" s="190" t="s">
        <v>375</v>
      </c>
      <c r="F20" s="196" t="s">
        <v>43</v>
      </c>
      <c r="G20" s="197"/>
      <c r="H20" s="208"/>
      <c r="I20" s="214">
        <f t="shared" si="4"/>
        <v>3</v>
      </c>
      <c r="J20" s="215">
        <f t="shared" si="5"/>
        <v>0</v>
      </c>
      <c r="K20" s="210">
        <f t="shared" si="6"/>
        <v>0</v>
      </c>
      <c r="L20" s="40"/>
    </row>
    <row r="21" spans="2:12" ht="48.75" customHeight="1" x14ac:dyDescent="0.25">
      <c r="B21" s="184" t="str">
        <f t="shared" si="0"/>
        <v>MNCIC</v>
      </c>
      <c r="C21" s="98">
        <f>IF(ISTEXT(D21),MAX($C$6:$C20)+1,"")</f>
        <v>18</v>
      </c>
      <c r="D21" s="99" t="s">
        <v>9</v>
      </c>
      <c r="E21" s="190" t="s">
        <v>376</v>
      </c>
      <c r="F21" s="202" t="s">
        <v>43</v>
      </c>
      <c r="G21" s="197"/>
      <c r="H21" s="208"/>
      <c r="I21" s="214">
        <f t="shared" si="4"/>
        <v>3</v>
      </c>
      <c r="J21" s="215">
        <f t="shared" si="5"/>
        <v>0</v>
      </c>
      <c r="K21" s="210">
        <f t="shared" si="6"/>
        <v>0</v>
      </c>
      <c r="L21" s="40"/>
    </row>
    <row r="22" spans="2:12" ht="32.25" customHeight="1" x14ac:dyDescent="0.25">
      <c r="B22" s="194" t="str">
        <f t="shared" si="0"/>
        <v>MNCIC</v>
      </c>
      <c r="C22" s="111">
        <f>IF(ISTEXT(D22),MAX($C$6:$C21)+1,"")</f>
        <v>19</v>
      </c>
      <c r="D22" s="99" t="s">
        <v>9</v>
      </c>
      <c r="E22" s="195" t="s">
        <v>535</v>
      </c>
      <c r="F22" s="196" t="s">
        <v>43</v>
      </c>
      <c r="G22" s="203"/>
      <c r="H22" s="204"/>
      <c r="I22" s="216">
        <f t="shared" si="4"/>
        <v>3</v>
      </c>
      <c r="J22" s="217">
        <f t="shared" si="5"/>
        <v>0</v>
      </c>
      <c r="K22" s="207">
        <f t="shared" si="6"/>
        <v>0</v>
      </c>
      <c r="L22" s="44"/>
    </row>
    <row r="23" spans="2:12" ht="8.25" customHeight="1" x14ac:dyDescent="0.25"/>
  </sheetData>
  <sheetProtection algorithmName="SHA-512" hashValue="7+74MvR4ag1sw4lZKL1BS0pjluG3waZUMRzGfA7zF/SBdm70Qm6YjiuA/yjA5rSLUcFLsxgjktg6SX0E+IxF6g==" saltValue="142CJkLtJ/0lCMCZUD3S1Q==" spinCount="100000" sheet="1" selectLockedCells="1"/>
  <conditionalFormatting sqref="D4:D22">
    <cfRule type="cellIs" dxfId="5" priority="1" operator="equal">
      <formula>"Important"</formula>
    </cfRule>
    <cfRule type="cellIs" dxfId="4" priority="2" operator="equal">
      <formula>"Crucial"</formula>
    </cfRule>
    <cfRule type="cellIs" dxfId="3" priority="3" operator="equal">
      <formula>"N/A"</formula>
    </cfRule>
  </conditionalFormatting>
  <conditionalFormatting sqref="F4:F22">
    <cfRule type="cellIs" dxfId="2" priority="10" operator="equal">
      <formula>"Function Not Available"</formula>
    </cfRule>
    <cfRule type="cellIs" dxfId="1" priority="11" operator="equal">
      <formula>"Function Available"</formula>
    </cfRule>
    <cfRule type="cellIs" dxfId="0" priority="12" operator="equal">
      <formula>"Exception"</formula>
    </cfRule>
  </conditionalFormatting>
  <dataValidations count="4">
    <dataValidation type="list" allowBlank="1" showInputMessage="1" showErrorMessage="1" sqref="F4:F5" xr:uid="{00000000-0002-0000-0800-000000000000}">
      <formula1>AvailabilityType</formula1>
    </dataValidation>
    <dataValidation type="list" allowBlank="1" showInputMessage="1" showErrorMessage="1" sqref="D4:D10 D12:D22" xr:uid="{E59D924F-DEF4-4269-9CB0-A4BEA0F97BDA}">
      <formula1>SpecType</formula1>
    </dataValidation>
    <dataValidation type="list" allowBlank="1" showInputMessage="1" showErrorMessage="1" errorTitle="Invalid specification type" error="Please enter a Specification type from the drop-down list." sqref="D11" xr:uid="{CC00B083-2849-42FA-8404-50BF86514AAF}">
      <formula1>SpecType</formula1>
    </dataValidation>
    <dataValidation type="list" allowBlank="1" showInputMessage="1" showErrorMessage="1" errorTitle="Invalid specification type" error="Please enter a Specification type from the drop-down list." sqref="F6:F22" xr:uid="{00000000-0002-0000-0800-000003000000}">
      <formula1>AvailabilityType</formula1>
    </dataValidation>
  </dataValidations>
  <pageMargins left="0.7" right="0.7" top="0.75" bottom="0.75" header="0.3" footer="0.3"/>
  <pageSetup scale="45" fitToHeight="0" orientation="portrait" r:id="rId1"/>
  <headerFooter>
    <oddHeader>&amp;CGCCDA
&amp;F&amp;R&amp;A</oddHeader>
    <oddFooter>&amp;LTSSI Consulting LLC, March 2026&amp;CPage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Evaluation Overview</vt:lpstr>
      <vt:lpstr>Support Data</vt:lpstr>
      <vt:lpstr>MD General Requirements</vt:lpstr>
      <vt:lpstr>MD AVL</vt:lpstr>
      <vt:lpstr>MD Field Reporting</vt:lpstr>
      <vt:lpstr>MD Mapping - GIS</vt:lpstr>
      <vt:lpstr>MD Messaging</vt:lpstr>
      <vt:lpstr>MD Mobile Application</vt:lpstr>
      <vt:lpstr>MD State - NCIC</vt:lpstr>
      <vt:lpstr>AvailabilityData</vt:lpstr>
      <vt:lpstr>AvailabilityType</vt:lpstr>
      <vt:lpstr>SpecData</vt:lpstr>
      <vt:lpstr>SpecType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dc:creator>
  <cp:keywords/>
  <dc:description/>
  <cp:lastModifiedBy>Stephanie Howes</cp:lastModifiedBy>
  <cp:revision/>
  <dcterms:created xsi:type="dcterms:W3CDTF">2015-01-27T15:14:04Z</dcterms:created>
  <dcterms:modified xsi:type="dcterms:W3CDTF">2026-03-16T12:42:14Z</dcterms:modified>
  <cp:category/>
  <cp:contentStatus/>
</cp:coreProperties>
</file>