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Z:\Finance\Requests for Proposals\07-26 Central Dispatch\"/>
    </mc:Choice>
  </mc:AlternateContent>
  <xr:revisionPtr revIDLastSave="0" documentId="8_{406025A1-6EF4-4BB4-B1ED-518302864B71}" xr6:coauthVersionLast="47" xr6:coauthVersionMax="47" xr10:uidLastSave="{00000000-0000-0000-0000-000000000000}"/>
  <workbookProtection workbookAlgorithmName="SHA-512" workbookHashValue="rzgo3VwPpIr/HJA66rHrrJY4rhXMjjivly+bR/YDMJIe5Pf0wR+bqiOd2lKcL2k5HJTsslVcmJIc18qFaNHbTw==" workbookSaltValue="a1SRQo6vKLkaTz+P/Q89Jw==" workbookSpinCount="100000" lockStructure="1"/>
  <bookViews>
    <workbookView xWindow="-25185" yWindow="2115" windowWidth="21600" windowHeight="11235" tabRatio="849" firstSheet="3" activeTab="3" xr2:uid="{00000000-000D-0000-FFFF-FFFF00000000}"/>
  </bookViews>
  <sheets>
    <sheet name="Sheet1" sheetId="81" state="hidden" r:id="rId1"/>
    <sheet name="Evaluation Overview" sheetId="6" state="hidden" r:id="rId2"/>
    <sheet name="Support Data" sheetId="2" state="hidden" r:id="rId3"/>
    <sheet name="Alarm Monitoring" sheetId="76" r:id="rId4"/>
    <sheet name="General Interface" sheetId="5" r:id="rId5"/>
    <sheet name="Alerting Interface" sheetId="32" r:id="rId6"/>
    <sheet name="Alpha-Text Paging Interface" sheetId="22" r:id="rId7"/>
    <sheet name="AVL Interface" sheetId="23" r:id="rId8"/>
    <sheet name="CAD2CAD" sheetId="29" r:id="rId9"/>
    <sheet name="Dispatch Protocol Software" sheetId="31" r:id="rId10"/>
    <sheet name="E9-1-1 Interface" sheetId="24" r:id="rId11"/>
    <sheet name="Emergency Notification System" sheetId="60" r:id="rId12"/>
    <sheet name="FRMS" sheetId="30" r:id="rId13"/>
    <sheet name="Hazardous Materials" sheetId="66" r:id="rId14"/>
    <sheet name="Logging Recorder" sheetId="65" r:id="rId15"/>
    <sheet name="NextGen" sheetId="27" r:id="rId16"/>
    <sheet name="PSAP Master Clock" sheetId="67" r:id="rId17"/>
    <sheet name="Pictometry" sheetId="68" r:id="rId18"/>
    <sheet name="Radio System" sheetId="69" r:id="rId19"/>
    <sheet name="LERMS" sheetId="28" r:id="rId20"/>
    <sheet name="State NCIC Interface" sheetId="25" r:id="rId21"/>
    <sheet name="TDD-TTY" sheetId="74" r:id="rId22"/>
    <sheet name="Web CAD Interface" sheetId="26" r:id="rId23"/>
  </sheets>
  <definedNames>
    <definedName name="AvailabilityData">'Support Data'!$B$12:$C$15</definedName>
    <definedName name="AvailabilityType">'Support Data'!$B$12:$B$15</definedName>
    <definedName name="SpecData">'Support Data'!$B$5:$C$8</definedName>
    <definedName name="SpecType">'Support Data'!$B$5:$B$8</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125" i="6" l="1"/>
  <c r="H125" i="6"/>
  <c r="G125" i="6"/>
  <c r="F125" i="6"/>
  <c r="I102" i="6"/>
  <c r="H102" i="6"/>
  <c r="G102" i="6"/>
  <c r="E124" i="6" l="1"/>
  <c r="E101" i="6"/>
  <c r="E78" i="6"/>
  <c r="I32" i="6"/>
  <c r="H32" i="6"/>
  <c r="G32" i="6"/>
  <c r="C43" i="5"/>
  <c r="C42" i="5"/>
  <c r="B42" i="5"/>
  <c r="C22" i="5"/>
  <c r="C23" i="5" s="1"/>
  <c r="B23" i="5" s="1"/>
  <c r="I22" i="5"/>
  <c r="J22" i="5"/>
  <c r="I42" i="5"/>
  <c r="J42" i="5"/>
  <c r="K42" i="5"/>
  <c r="H20" i="25"/>
  <c r="H19" i="25"/>
  <c r="H18" i="25"/>
  <c r="H17" i="25"/>
  <c r="D102" i="6" s="1"/>
  <c r="H16" i="25"/>
  <c r="H15" i="25"/>
  <c r="H14" i="25"/>
  <c r="I14" i="25"/>
  <c r="I15" i="25"/>
  <c r="I16" i="25"/>
  <c r="J14" i="25"/>
  <c r="J15" i="25"/>
  <c r="J16" i="25"/>
  <c r="J5" i="22"/>
  <c r="I5" i="22"/>
  <c r="J34" i="29"/>
  <c r="J35" i="29"/>
  <c r="J36" i="29"/>
  <c r="J37" i="29"/>
  <c r="K37" i="29" s="1"/>
  <c r="J38" i="29"/>
  <c r="I34" i="29"/>
  <c r="I35" i="29"/>
  <c r="I36" i="29"/>
  <c r="I37" i="29"/>
  <c r="I38" i="29"/>
  <c r="J21" i="30"/>
  <c r="J22" i="30"/>
  <c r="J23" i="30"/>
  <c r="J24" i="30"/>
  <c r="J25" i="30"/>
  <c r="J26" i="30"/>
  <c r="J27" i="30"/>
  <c r="I21" i="30"/>
  <c r="I22" i="30"/>
  <c r="I23" i="30"/>
  <c r="I24" i="30"/>
  <c r="I25" i="30"/>
  <c r="I26" i="30"/>
  <c r="I27" i="30"/>
  <c r="J44" i="5"/>
  <c r="J45" i="5"/>
  <c r="I44" i="5"/>
  <c r="I45" i="5"/>
  <c r="E108" i="6"/>
  <c r="E109" i="6"/>
  <c r="E110" i="6"/>
  <c r="E111" i="6"/>
  <c r="E112" i="6"/>
  <c r="E113" i="6"/>
  <c r="E114" i="6"/>
  <c r="E115" i="6"/>
  <c r="E116" i="6"/>
  <c r="E117" i="6"/>
  <c r="E118" i="6"/>
  <c r="E119" i="6"/>
  <c r="E120" i="6"/>
  <c r="E121" i="6"/>
  <c r="E122" i="6"/>
  <c r="E123" i="6"/>
  <c r="E125" i="6"/>
  <c r="E126" i="6"/>
  <c r="E127" i="6"/>
  <c r="E85" i="6"/>
  <c r="E86" i="6"/>
  <c r="E87" i="6"/>
  <c r="E88" i="6"/>
  <c r="E89" i="6"/>
  <c r="E90" i="6"/>
  <c r="E91" i="6"/>
  <c r="E92" i="6"/>
  <c r="E93" i="6"/>
  <c r="E94" i="6"/>
  <c r="E95" i="6"/>
  <c r="E96" i="6"/>
  <c r="E97" i="6"/>
  <c r="E98" i="6"/>
  <c r="E99" i="6"/>
  <c r="E100" i="6"/>
  <c r="E102" i="6"/>
  <c r="E103" i="6"/>
  <c r="E104" i="6"/>
  <c r="E62" i="6"/>
  <c r="E63" i="6"/>
  <c r="E64" i="6"/>
  <c r="E65" i="6"/>
  <c r="E66" i="6"/>
  <c r="E67" i="6"/>
  <c r="E68" i="6"/>
  <c r="E69" i="6"/>
  <c r="E70" i="6"/>
  <c r="E71" i="6"/>
  <c r="E72" i="6"/>
  <c r="E73" i="6"/>
  <c r="E74" i="6"/>
  <c r="E75" i="6"/>
  <c r="E76" i="6"/>
  <c r="E77" i="6"/>
  <c r="E79" i="6"/>
  <c r="E80" i="6"/>
  <c r="E81" i="6"/>
  <c r="C24" i="6"/>
  <c r="C93" i="6" s="1"/>
  <c r="J14" i="31"/>
  <c r="J15" i="31"/>
  <c r="J16" i="31"/>
  <c r="J17" i="31"/>
  <c r="J18" i="31"/>
  <c r="J19" i="31"/>
  <c r="J20" i="31"/>
  <c r="J21" i="31"/>
  <c r="J22" i="31"/>
  <c r="J23" i="31"/>
  <c r="J24" i="31"/>
  <c r="J25" i="31"/>
  <c r="J26" i="31"/>
  <c r="J27" i="31"/>
  <c r="I14" i="31"/>
  <c r="I15" i="31"/>
  <c r="I16" i="31"/>
  <c r="I17" i="31"/>
  <c r="I18" i="31"/>
  <c r="I19" i="31"/>
  <c r="I20" i="31"/>
  <c r="I21" i="31"/>
  <c r="I22" i="31"/>
  <c r="I23" i="31"/>
  <c r="I24" i="31"/>
  <c r="I25" i="31"/>
  <c r="I26" i="31"/>
  <c r="I27" i="31"/>
  <c r="H15" i="29"/>
  <c r="F90" i="6" s="1"/>
  <c r="H20" i="74"/>
  <c r="I126" i="6" s="1"/>
  <c r="H19" i="74"/>
  <c r="H126" i="6" s="1"/>
  <c r="H18" i="74"/>
  <c r="G126" i="6" s="1"/>
  <c r="D126" i="6" s="1"/>
  <c r="H17" i="74"/>
  <c r="F126" i="6" s="1"/>
  <c r="H16" i="74"/>
  <c r="I103" i="6" s="1"/>
  <c r="H15" i="74"/>
  <c r="H103" i="6" s="1"/>
  <c r="H14" i="74"/>
  <c r="G103" i="6" s="1"/>
  <c r="D103" i="6" s="1"/>
  <c r="H13" i="74"/>
  <c r="F103" i="6" s="1"/>
  <c r="H21" i="66"/>
  <c r="I118" i="6" s="1"/>
  <c r="H20" i="66"/>
  <c r="H118" i="6" s="1"/>
  <c r="H21" i="60"/>
  <c r="I116" i="6" s="1"/>
  <c r="H20" i="60"/>
  <c r="H116" i="6" s="1"/>
  <c r="H19" i="60"/>
  <c r="G116" i="6" s="1"/>
  <c r="D116" i="6" s="1"/>
  <c r="H18" i="60"/>
  <c r="F116" i="6" s="1"/>
  <c r="H17" i="60"/>
  <c r="I93" i="6" s="1"/>
  <c r="H16" i="60"/>
  <c r="H93" i="6" s="1"/>
  <c r="H15" i="60"/>
  <c r="G93" i="6" s="1"/>
  <c r="D93" i="6" s="1"/>
  <c r="H14" i="60"/>
  <c r="F93" i="6" s="1"/>
  <c r="H20" i="24"/>
  <c r="I115" i="6" s="1"/>
  <c r="H19" i="24"/>
  <c r="H115" i="6" s="1"/>
  <c r="I18" i="24"/>
  <c r="H17" i="24"/>
  <c r="F115" i="6" s="1"/>
  <c r="H16" i="24"/>
  <c r="I92" i="6" s="1"/>
  <c r="H15" i="24"/>
  <c r="H92" i="6" s="1"/>
  <c r="H14" i="24"/>
  <c r="G92" i="6" s="1"/>
  <c r="D92" i="6" s="1"/>
  <c r="H13" i="24"/>
  <c r="F92" i="6" s="1"/>
  <c r="H21" i="31"/>
  <c r="I114" i="6" s="1"/>
  <c r="H20" i="31"/>
  <c r="H114" i="6" s="1"/>
  <c r="H19" i="31"/>
  <c r="G114" i="6" s="1"/>
  <c r="D114" i="6" s="1"/>
  <c r="H18" i="31"/>
  <c r="F114" i="6" s="1"/>
  <c r="H17" i="31"/>
  <c r="I91" i="6" s="1"/>
  <c r="H16" i="31"/>
  <c r="H91" i="6" s="1"/>
  <c r="H15" i="31"/>
  <c r="G91" i="6" s="1"/>
  <c r="D91" i="6" s="1"/>
  <c r="H14" i="31"/>
  <c r="F91" i="6" s="1"/>
  <c r="H20" i="28"/>
  <c r="I124" i="6" s="1"/>
  <c r="D125" i="6"/>
  <c r="H18" i="28"/>
  <c r="H124" i="6" s="1"/>
  <c r="H17" i="28"/>
  <c r="G124" i="6" s="1"/>
  <c r="D124" i="6" s="1"/>
  <c r="H19" i="68"/>
  <c r="I122" i="6" s="1"/>
  <c r="H18" i="68"/>
  <c r="H122" i="6" s="1"/>
  <c r="H17" i="68"/>
  <c r="G122" i="6" s="1"/>
  <c r="D122" i="6" s="1"/>
  <c r="H19" i="27"/>
  <c r="I120" i="6" s="1"/>
  <c r="H18" i="27"/>
  <c r="H120" i="6" s="1"/>
  <c r="H17" i="27"/>
  <c r="G120" i="6" s="1"/>
  <c r="D120" i="6" s="1"/>
  <c r="H18" i="66"/>
  <c r="G118" i="6" s="1"/>
  <c r="D118" i="6" s="1"/>
  <c r="H23" i="29"/>
  <c r="I113" i="6" s="1"/>
  <c r="H22" i="29"/>
  <c r="H113" i="6" s="1"/>
  <c r="H21" i="29"/>
  <c r="G113" i="6" s="1"/>
  <c r="D113" i="6" s="1"/>
  <c r="H19" i="76"/>
  <c r="I109" i="6" s="1"/>
  <c r="H18" i="76"/>
  <c r="H109" i="6" s="1"/>
  <c r="H17" i="76"/>
  <c r="G109" i="6" s="1"/>
  <c r="D109" i="6" s="1"/>
  <c r="H16" i="28"/>
  <c r="F124" i="6" s="1"/>
  <c r="H16" i="68"/>
  <c r="F122" i="6" s="1"/>
  <c r="H16" i="27"/>
  <c r="F120" i="6" s="1"/>
  <c r="H17" i="66"/>
  <c r="F118" i="6" s="1"/>
  <c r="H20" i="29"/>
  <c r="F113" i="6" s="1"/>
  <c r="H16" i="76"/>
  <c r="F109" i="6" s="1"/>
  <c r="H19" i="29"/>
  <c r="I90" i="6" s="1"/>
  <c r="H12" i="74"/>
  <c r="I80" i="6" s="1"/>
  <c r="H13" i="60"/>
  <c r="I70" i="6" s="1"/>
  <c r="H12" i="24"/>
  <c r="I69" i="6" s="1"/>
  <c r="H13" i="31"/>
  <c r="I68" i="6" s="1"/>
  <c r="H17" i="29"/>
  <c r="H90" i="6" s="1"/>
  <c r="H16" i="29"/>
  <c r="G90" i="6" s="1"/>
  <c r="D90" i="6" s="1"/>
  <c r="H14" i="29"/>
  <c r="I67" i="6" s="1"/>
  <c r="H13" i="29"/>
  <c r="H67" i="6" s="1"/>
  <c r="H12" i="29"/>
  <c r="G67" i="6" s="1"/>
  <c r="D67" i="6" s="1"/>
  <c r="H15" i="28"/>
  <c r="I101" i="6" s="1"/>
  <c r="H14" i="28"/>
  <c r="H101" i="6" s="1"/>
  <c r="H13" i="28"/>
  <c r="G101" i="6" s="1"/>
  <c r="D101" i="6" s="1"/>
  <c r="H15" i="68"/>
  <c r="I99" i="6" s="1"/>
  <c r="H14" i="68"/>
  <c r="H99" i="6" s="1"/>
  <c r="H13" i="68"/>
  <c r="G99" i="6" s="1"/>
  <c r="D99" i="6" s="1"/>
  <c r="H15" i="27"/>
  <c r="I97" i="6" s="1"/>
  <c r="H14" i="27"/>
  <c r="H97" i="6" s="1"/>
  <c r="H13" i="27"/>
  <c r="G97" i="6" s="1"/>
  <c r="D97" i="6" s="1"/>
  <c r="H16" i="66"/>
  <c r="I95" i="6" s="1"/>
  <c r="H15" i="66"/>
  <c r="H95" i="6" s="1"/>
  <c r="H14" i="66"/>
  <c r="G95" i="6" s="1"/>
  <c r="D95" i="6" s="1"/>
  <c r="H15" i="76"/>
  <c r="I86" i="6" s="1"/>
  <c r="H14" i="76"/>
  <c r="H86" i="6" s="1"/>
  <c r="H13" i="76"/>
  <c r="G86" i="6" s="1"/>
  <c r="H12" i="25"/>
  <c r="F102" i="6" s="1"/>
  <c r="H12" i="28"/>
  <c r="F101" i="6" s="1"/>
  <c r="H12" i="68"/>
  <c r="F99" i="6" s="1"/>
  <c r="H12" i="27"/>
  <c r="F97" i="6" s="1"/>
  <c r="H13" i="66"/>
  <c r="F95" i="6" s="1"/>
  <c r="H12" i="76"/>
  <c r="F86" i="6" s="1"/>
  <c r="H10" i="74"/>
  <c r="H80" i="6" s="1"/>
  <c r="H9" i="74"/>
  <c r="G80" i="6" s="1"/>
  <c r="D80" i="6" s="1"/>
  <c r="H11" i="25"/>
  <c r="I79" i="6" s="1"/>
  <c r="H10" i="25"/>
  <c r="H79" i="6" s="1"/>
  <c r="H9" i="25"/>
  <c r="G79" i="6" s="1"/>
  <c r="D79" i="6" s="1"/>
  <c r="H11" i="28"/>
  <c r="I78" i="6" s="1"/>
  <c r="H10" i="28"/>
  <c r="H78" i="6" s="1"/>
  <c r="H9" i="28"/>
  <c r="G78" i="6" s="1"/>
  <c r="D78" i="6" s="1"/>
  <c r="H11" i="68"/>
  <c r="I76" i="6" s="1"/>
  <c r="H10" i="68"/>
  <c r="H76" i="6" s="1"/>
  <c r="H9" i="68"/>
  <c r="G76" i="6" s="1"/>
  <c r="D76" i="6" s="1"/>
  <c r="H11" i="27"/>
  <c r="I74" i="6" s="1"/>
  <c r="H10" i="27"/>
  <c r="H74" i="6" s="1"/>
  <c r="H9" i="27"/>
  <c r="G74" i="6" s="1"/>
  <c r="D74" i="6" s="1"/>
  <c r="H12" i="66"/>
  <c r="I72" i="6" s="1"/>
  <c r="H11" i="66"/>
  <c r="H72" i="6" s="1"/>
  <c r="H10" i="66"/>
  <c r="G72" i="6" s="1"/>
  <c r="D72" i="6" s="1"/>
  <c r="H11" i="60"/>
  <c r="H70" i="6" s="1"/>
  <c r="H10" i="60"/>
  <c r="G70" i="6" s="1"/>
  <c r="D70" i="6" s="1"/>
  <c r="H10" i="24"/>
  <c r="H69" i="6" s="1"/>
  <c r="H9" i="24"/>
  <c r="G69" i="6" s="1"/>
  <c r="D69" i="6" s="1"/>
  <c r="H11" i="31"/>
  <c r="H68" i="6" s="1"/>
  <c r="H10" i="31"/>
  <c r="G68" i="6" s="1"/>
  <c r="D68" i="6" s="1"/>
  <c r="H10" i="29"/>
  <c r="F67" i="6" s="1"/>
  <c r="H11" i="76"/>
  <c r="I63" i="6" s="1"/>
  <c r="H10" i="76"/>
  <c r="H63" i="6" s="1"/>
  <c r="H9" i="76"/>
  <c r="G63" i="6" s="1"/>
  <c r="H8" i="74"/>
  <c r="F80" i="6" s="1"/>
  <c r="H8" i="25"/>
  <c r="F79" i="6" s="1"/>
  <c r="H8" i="28"/>
  <c r="F78" i="6" s="1"/>
  <c r="H8" i="68"/>
  <c r="F76" i="6" s="1"/>
  <c r="H8" i="27"/>
  <c r="F74" i="6" s="1"/>
  <c r="H9" i="66"/>
  <c r="F72" i="6" s="1"/>
  <c r="H9" i="60"/>
  <c r="F70" i="6" s="1"/>
  <c r="H8" i="24"/>
  <c r="F69" i="6" s="1"/>
  <c r="H9" i="31"/>
  <c r="F68" i="6" s="1"/>
  <c r="H8" i="76"/>
  <c r="F63" i="6" s="1"/>
  <c r="I46" i="6"/>
  <c r="H48" i="6"/>
  <c r="G48" i="6"/>
  <c r="G46" i="6"/>
  <c r="F54" i="6"/>
  <c r="H3" i="74"/>
  <c r="E57" i="6" s="1"/>
  <c r="H3" i="25"/>
  <c r="E33" i="6" s="1"/>
  <c r="H3" i="28"/>
  <c r="H21" i="2" s="1"/>
  <c r="H3" i="68"/>
  <c r="E30" i="6" s="1"/>
  <c r="H3" i="27"/>
  <c r="E51" i="6" s="1"/>
  <c r="H3" i="66"/>
  <c r="H15" i="2" s="1"/>
  <c r="H3" i="60"/>
  <c r="E47" i="6" s="1"/>
  <c r="H3" i="24"/>
  <c r="E46" i="6" s="1"/>
  <c r="H3" i="31"/>
  <c r="E22" i="6" s="1"/>
  <c r="H3" i="29"/>
  <c r="H10" i="2" s="1"/>
  <c r="H3" i="76"/>
  <c r="E17" i="6" s="1"/>
  <c r="I4" i="74"/>
  <c r="I5" i="74"/>
  <c r="I6" i="74"/>
  <c r="I7" i="74"/>
  <c r="I8" i="74"/>
  <c r="I9" i="74"/>
  <c r="I10" i="74"/>
  <c r="I12" i="74"/>
  <c r="I13" i="74"/>
  <c r="I4" i="25"/>
  <c r="I5" i="25"/>
  <c r="I6" i="25"/>
  <c r="I7" i="25"/>
  <c r="I8" i="25"/>
  <c r="I9" i="25"/>
  <c r="I10" i="25"/>
  <c r="I11" i="25"/>
  <c r="I12" i="25"/>
  <c r="I17" i="25"/>
  <c r="I18" i="25"/>
  <c r="I19" i="25"/>
  <c r="I20" i="25"/>
  <c r="I21" i="25"/>
  <c r="I22" i="25"/>
  <c r="I23" i="25"/>
  <c r="I24" i="25"/>
  <c r="I25" i="25"/>
  <c r="I26" i="25"/>
  <c r="I27" i="25"/>
  <c r="I28" i="25"/>
  <c r="I29" i="25"/>
  <c r="I30" i="25"/>
  <c r="I31" i="25"/>
  <c r="I32" i="25"/>
  <c r="I33" i="25"/>
  <c r="I34" i="25"/>
  <c r="I35" i="25"/>
  <c r="I36" i="25"/>
  <c r="I37" i="25"/>
  <c r="I38" i="25"/>
  <c r="I39" i="25"/>
  <c r="I40" i="25"/>
  <c r="I41" i="25"/>
  <c r="I42" i="25"/>
  <c r="I43" i="25"/>
  <c r="I44" i="25"/>
  <c r="I45" i="25"/>
  <c r="I46" i="25"/>
  <c r="I47" i="25"/>
  <c r="I48" i="25"/>
  <c r="I49" i="25"/>
  <c r="I50" i="25"/>
  <c r="I51" i="25"/>
  <c r="I52" i="25"/>
  <c r="I53" i="25"/>
  <c r="I54" i="25"/>
  <c r="I55" i="25"/>
  <c r="I4" i="28"/>
  <c r="I5" i="28"/>
  <c r="I6" i="28"/>
  <c r="I7" i="28"/>
  <c r="I8" i="28"/>
  <c r="I9" i="28"/>
  <c r="I10" i="28"/>
  <c r="I11" i="28"/>
  <c r="I12" i="28"/>
  <c r="I13" i="28"/>
  <c r="I14" i="28"/>
  <c r="I15" i="28"/>
  <c r="I16" i="28"/>
  <c r="I17" i="28"/>
  <c r="I18" i="28"/>
  <c r="I20" i="28"/>
  <c r="I21" i="28"/>
  <c r="I22" i="28"/>
  <c r="I4" i="68"/>
  <c r="I5" i="68"/>
  <c r="I6" i="68"/>
  <c r="I7" i="68"/>
  <c r="I8" i="68"/>
  <c r="I9" i="68"/>
  <c r="I10" i="68"/>
  <c r="I11" i="68"/>
  <c r="I12" i="68"/>
  <c r="I4" i="27"/>
  <c r="I5" i="27"/>
  <c r="I6" i="27"/>
  <c r="I7" i="27"/>
  <c r="I8" i="27"/>
  <c r="I9" i="27"/>
  <c r="I10" i="27"/>
  <c r="I11" i="27"/>
  <c r="I12" i="27"/>
  <c r="I13" i="27"/>
  <c r="I14" i="27"/>
  <c r="I15" i="27"/>
  <c r="I16" i="27"/>
  <c r="I17" i="27"/>
  <c r="I18" i="27"/>
  <c r="I19" i="27"/>
  <c r="I20" i="27"/>
  <c r="I21" i="27"/>
  <c r="I4" i="66"/>
  <c r="I5" i="66"/>
  <c r="I6" i="66"/>
  <c r="I8" i="66"/>
  <c r="I9" i="66"/>
  <c r="I10" i="66"/>
  <c r="I11" i="66"/>
  <c r="I12" i="66"/>
  <c r="I13" i="66"/>
  <c r="I14" i="66"/>
  <c r="I15" i="66"/>
  <c r="I16" i="66"/>
  <c r="I17" i="66"/>
  <c r="I18" i="66"/>
  <c r="I20" i="66"/>
  <c r="I21" i="66"/>
  <c r="I22" i="66"/>
  <c r="I24" i="66"/>
  <c r="I25" i="66"/>
  <c r="I26" i="66"/>
  <c r="I27" i="66"/>
  <c r="K27" i="66" s="1"/>
  <c r="I28" i="66"/>
  <c r="I29" i="66"/>
  <c r="I30" i="66"/>
  <c r="I31" i="66"/>
  <c r="I32" i="66"/>
  <c r="I33" i="66"/>
  <c r="I34" i="66"/>
  <c r="I35" i="66"/>
  <c r="I36" i="66"/>
  <c r="I37" i="66"/>
  <c r="I4" i="60"/>
  <c r="I5" i="60"/>
  <c r="I7" i="60"/>
  <c r="I8" i="60"/>
  <c r="I9" i="60"/>
  <c r="I10" i="60"/>
  <c r="I11" i="60"/>
  <c r="I13" i="60"/>
  <c r="I14" i="60"/>
  <c r="I15" i="60"/>
  <c r="I16" i="60"/>
  <c r="I4" i="24"/>
  <c r="I5" i="24"/>
  <c r="I6" i="24"/>
  <c r="I7" i="24"/>
  <c r="I8" i="24"/>
  <c r="I9" i="24"/>
  <c r="I10" i="24"/>
  <c r="I12" i="24"/>
  <c r="I13" i="24"/>
  <c r="I14" i="24"/>
  <c r="I15" i="24"/>
  <c r="I16" i="24"/>
  <c r="I17" i="24"/>
  <c r="I19" i="24"/>
  <c r="I20" i="24"/>
  <c r="I21" i="24"/>
  <c r="I22" i="24"/>
  <c r="I23" i="24"/>
  <c r="I4" i="31"/>
  <c r="I5" i="31"/>
  <c r="I6" i="31"/>
  <c r="I8" i="31"/>
  <c r="I9" i="31"/>
  <c r="I10" i="31"/>
  <c r="I11" i="31"/>
  <c r="I13" i="31"/>
  <c r="I29" i="31"/>
  <c r="I30" i="31"/>
  <c r="I31" i="31"/>
  <c r="I32" i="31"/>
  <c r="I34" i="31"/>
  <c r="I35" i="31"/>
  <c r="I36" i="31"/>
  <c r="I37" i="31"/>
  <c r="I38" i="31"/>
  <c r="I39" i="31"/>
  <c r="I40" i="31"/>
  <c r="I41" i="31"/>
  <c r="I42" i="31"/>
  <c r="I44" i="31"/>
  <c r="I45" i="31"/>
  <c r="I46" i="31"/>
  <c r="I47" i="31"/>
  <c r="I48" i="31"/>
  <c r="I49" i="31"/>
  <c r="I50" i="31"/>
  <c r="I51" i="31"/>
  <c r="I4" i="29"/>
  <c r="I6" i="29"/>
  <c r="I8" i="29"/>
  <c r="I9" i="29"/>
  <c r="I10" i="29"/>
  <c r="I12" i="29"/>
  <c r="I13" i="29"/>
  <c r="I14" i="29"/>
  <c r="I15" i="29"/>
  <c r="I16" i="29"/>
  <c r="I17" i="29"/>
  <c r="I19" i="29"/>
  <c r="I20" i="29"/>
  <c r="I21" i="29"/>
  <c r="I22" i="29"/>
  <c r="I23" i="29"/>
  <c r="I24" i="29"/>
  <c r="I25" i="29"/>
  <c r="I26" i="29"/>
  <c r="I27" i="29"/>
  <c r="I28" i="29"/>
  <c r="I29" i="29"/>
  <c r="I30" i="29"/>
  <c r="I31" i="29"/>
  <c r="I32" i="29"/>
  <c r="I33" i="29"/>
  <c r="I4" i="76"/>
  <c r="I5" i="76"/>
  <c r="I6" i="76"/>
  <c r="I7" i="76"/>
  <c r="I8" i="76"/>
  <c r="I9" i="76"/>
  <c r="I10" i="76"/>
  <c r="I11" i="76"/>
  <c r="I12" i="76"/>
  <c r="I35" i="6"/>
  <c r="H35" i="6"/>
  <c r="G35" i="6"/>
  <c r="I34" i="6"/>
  <c r="H34" i="6"/>
  <c r="G34" i="6"/>
  <c r="I33" i="6"/>
  <c r="H33" i="6"/>
  <c r="G33" i="6"/>
  <c r="I31" i="6"/>
  <c r="H31" i="6"/>
  <c r="G31" i="6"/>
  <c r="I30" i="6"/>
  <c r="H30" i="6"/>
  <c r="G30" i="6"/>
  <c r="I29" i="6"/>
  <c r="H29" i="6"/>
  <c r="G29" i="6"/>
  <c r="I28" i="6"/>
  <c r="H28" i="6"/>
  <c r="G28" i="6"/>
  <c r="I27" i="6"/>
  <c r="H27" i="6"/>
  <c r="G27" i="6"/>
  <c r="I26" i="6"/>
  <c r="H26" i="6"/>
  <c r="G26" i="6"/>
  <c r="I25" i="6"/>
  <c r="H25" i="6"/>
  <c r="G25" i="6"/>
  <c r="I24" i="6"/>
  <c r="H24" i="6"/>
  <c r="G24" i="6"/>
  <c r="I23" i="6"/>
  <c r="H23" i="6"/>
  <c r="G23" i="6"/>
  <c r="I22" i="6"/>
  <c r="H22" i="6"/>
  <c r="G22" i="6"/>
  <c r="I21" i="6"/>
  <c r="H21" i="6"/>
  <c r="G21" i="6"/>
  <c r="I20" i="6"/>
  <c r="H20" i="6"/>
  <c r="G20" i="6"/>
  <c r="I19" i="6"/>
  <c r="H19" i="6"/>
  <c r="G19" i="6"/>
  <c r="I18" i="6"/>
  <c r="H18" i="6"/>
  <c r="G18" i="6"/>
  <c r="I17" i="6"/>
  <c r="H17" i="6"/>
  <c r="G17" i="6"/>
  <c r="G16" i="6"/>
  <c r="I16" i="6"/>
  <c r="H16" i="6"/>
  <c r="I17" i="26"/>
  <c r="J17" i="26"/>
  <c r="C7" i="32"/>
  <c r="C8" i="32"/>
  <c r="B8" i="32" s="1"/>
  <c r="C9" i="32"/>
  <c r="B9" i="32" s="1"/>
  <c r="I50" i="32"/>
  <c r="J50" i="32"/>
  <c r="I27" i="32"/>
  <c r="J27" i="32"/>
  <c r="I44" i="32"/>
  <c r="J44" i="32"/>
  <c r="I45" i="32"/>
  <c r="J45" i="32"/>
  <c r="I46" i="32"/>
  <c r="I47" i="32"/>
  <c r="J46" i="32"/>
  <c r="J47" i="32"/>
  <c r="I26" i="32"/>
  <c r="I28" i="32"/>
  <c r="I29" i="32"/>
  <c r="I30" i="32"/>
  <c r="J26" i="32"/>
  <c r="J28" i="32"/>
  <c r="J29" i="32"/>
  <c r="J30" i="32"/>
  <c r="I31" i="32"/>
  <c r="I32" i="32"/>
  <c r="I33" i="32"/>
  <c r="I34" i="32"/>
  <c r="J31" i="32"/>
  <c r="J32" i="32"/>
  <c r="J33" i="32"/>
  <c r="J34" i="32"/>
  <c r="I35" i="32"/>
  <c r="I36" i="32"/>
  <c r="I37" i="32"/>
  <c r="I38" i="32"/>
  <c r="J35" i="32"/>
  <c r="J36" i="32"/>
  <c r="J37" i="32"/>
  <c r="J38" i="32"/>
  <c r="I39" i="32"/>
  <c r="I40" i="32"/>
  <c r="I41" i="32"/>
  <c r="I42" i="32"/>
  <c r="J39" i="32"/>
  <c r="J40" i="32"/>
  <c r="J41" i="32"/>
  <c r="J42" i="32"/>
  <c r="I48" i="32"/>
  <c r="I49" i="32"/>
  <c r="J48" i="32"/>
  <c r="J49" i="32"/>
  <c r="I51" i="32"/>
  <c r="J51" i="32"/>
  <c r="I24" i="32"/>
  <c r="J24" i="32"/>
  <c r="F6" i="2"/>
  <c r="C17" i="6" s="1"/>
  <c r="C11" i="74"/>
  <c r="B11" i="74"/>
  <c r="C46" i="69"/>
  <c r="B46" i="69" s="1"/>
  <c r="I47" i="69"/>
  <c r="J47" i="69"/>
  <c r="I44" i="69"/>
  <c r="J44" i="69"/>
  <c r="J57" i="69"/>
  <c r="I57" i="69"/>
  <c r="J56" i="69"/>
  <c r="I56" i="69"/>
  <c r="J55" i="69"/>
  <c r="I55" i="69"/>
  <c r="J54" i="69"/>
  <c r="I54" i="69"/>
  <c r="J53" i="69"/>
  <c r="I53" i="69"/>
  <c r="J52" i="69"/>
  <c r="I52" i="69"/>
  <c r="J51" i="69"/>
  <c r="I51" i="69"/>
  <c r="J50" i="69"/>
  <c r="I50" i="69"/>
  <c r="J49" i="69"/>
  <c r="I49" i="69"/>
  <c r="C27" i="69"/>
  <c r="B27" i="69" s="1"/>
  <c r="C6" i="69"/>
  <c r="B6" i="69"/>
  <c r="C23" i="66"/>
  <c r="B23" i="66"/>
  <c r="C19" i="66"/>
  <c r="B19" i="66"/>
  <c r="C7" i="66"/>
  <c r="B7" i="66"/>
  <c r="C6" i="60"/>
  <c r="B6" i="60" s="1"/>
  <c r="C12" i="60"/>
  <c r="B12" i="60" s="1"/>
  <c r="J12" i="76"/>
  <c r="J11" i="76"/>
  <c r="J10" i="76"/>
  <c r="J9" i="76"/>
  <c r="J8" i="76"/>
  <c r="J7" i="76"/>
  <c r="H7" i="76"/>
  <c r="L6" i="2" s="1"/>
  <c r="J6" i="76"/>
  <c r="H6" i="76"/>
  <c r="H40" i="6" s="1"/>
  <c r="J5" i="76"/>
  <c r="H5" i="76"/>
  <c r="J6" i="2" s="1"/>
  <c r="C5" i="76"/>
  <c r="B5" i="76"/>
  <c r="J4" i="76"/>
  <c r="H4" i="76"/>
  <c r="I6" i="2" s="1"/>
  <c r="F23" i="2"/>
  <c r="C34" i="6" s="1"/>
  <c r="F20" i="2"/>
  <c r="C31" i="6" s="1"/>
  <c r="F19" i="2"/>
  <c r="C30" i="6" s="1"/>
  <c r="F18" i="2"/>
  <c r="C29" i="6" s="1"/>
  <c r="F16" i="2"/>
  <c r="C27" i="6" s="1"/>
  <c r="F15" i="2"/>
  <c r="C26" i="6" s="1"/>
  <c r="F13" i="2"/>
  <c r="J13" i="74"/>
  <c r="J12" i="74"/>
  <c r="J10" i="74"/>
  <c r="J9" i="74"/>
  <c r="J8" i="74"/>
  <c r="J7" i="74"/>
  <c r="H7" i="74"/>
  <c r="L23" i="2" s="1"/>
  <c r="J6" i="74"/>
  <c r="H6" i="74"/>
  <c r="H57" i="6" s="1"/>
  <c r="K23" i="2"/>
  <c r="J5" i="74"/>
  <c r="H5" i="74"/>
  <c r="J23" i="2" s="1"/>
  <c r="C5" i="74"/>
  <c r="B5" i="74" s="1"/>
  <c r="J4" i="74"/>
  <c r="H4" i="74"/>
  <c r="I23" i="2" s="1"/>
  <c r="J48" i="69"/>
  <c r="I48" i="69"/>
  <c r="J45" i="69"/>
  <c r="I45" i="69"/>
  <c r="J43" i="69"/>
  <c r="I43" i="69"/>
  <c r="J42" i="69"/>
  <c r="I42" i="69"/>
  <c r="J41" i="69"/>
  <c r="I41" i="69"/>
  <c r="J40" i="69"/>
  <c r="I40" i="69"/>
  <c r="J39" i="69"/>
  <c r="I39" i="69"/>
  <c r="J38" i="69"/>
  <c r="I38" i="69"/>
  <c r="J37" i="69"/>
  <c r="I37" i="69"/>
  <c r="J36" i="69"/>
  <c r="I36" i="69"/>
  <c r="J35" i="69"/>
  <c r="I35" i="69"/>
  <c r="J34" i="69"/>
  <c r="I34" i="69"/>
  <c r="J33" i="69"/>
  <c r="I33" i="69"/>
  <c r="J32" i="69"/>
  <c r="I32" i="69"/>
  <c r="J31" i="69"/>
  <c r="I31" i="69"/>
  <c r="J30" i="69"/>
  <c r="I30" i="69"/>
  <c r="J29" i="69"/>
  <c r="I29" i="69"/>
  <c r="J28" i="69"/>
  <c r="I28" i="69"/>
  <c r="J26" i="69"/>
  <c r="I26" i="69"/>
  <c r="J25" i="69"/>
  <c r="I25" i="69"/>
  <c r="J23" i="69"/>
  <c r="I23" i="69"/>
  <c r="J22" i="69"/>
  <c r="I22" i="69"/>
  <c r="J21" i="69"/>
  <c r="I21" i="69"/>
  <c r="J20" i="69"/>
  <c r="I20" i="69"/>
  <c r="H20" i="69"/>
  <c r="I123" i="6" s="1"/>
  <c r="J19" i="69"/>
  <c r="I19" i="69"/>
  <c r="H19" i="69"/>
  <c r="H123" i="6" s="1"/>
  <c r="J18" i="69"/>
  <c r="I18" i="69"/>
  <c r="H18" i="69"/>
  <c r="G123" i="6" s="1"/>
  <c r="D123" i="6" s="1"/>
  <c r="J17" i="69"/>
  <c r="I17" i="69"/>
  <c r="H17" i="69"/>
  <c r="F123" i="6" s="1"/>
  <c r="J16" i="69"/>
  <c r="I16" i="69"/>
  <c r="H16" i="69"/>
  <c r="I100" i="6" s="1"/>
  <c r="J15" i="69"/>
  <c r="I15" i="69"/>
  <c r="H15" i="69"/>
  <c r="H100" i="6" s="1"/>
  <c r="J14" i="69"/>
  <c r="I14" i="69"/>
  <c r="H14" i="69"/>
  <c r="G100" i="6" s="1"/>
  <c r="D100" i="6" s="1"/>
  <c r="J13" i="69"/>
  <c r="I13" i="69"/>
  <c r="H13" i="69"/>
  <c r="F100" i="6" s="1"/>
  <c r="J12" i="69"/>
  <c r="I12" i="69"/>
  <c r="H12" i="69"/>
  <c r="I77" i="6" s="1"/>
  <c r="J11" i="69"/>
  <c r="I11" i="69"/>
  <c r="H11" i="69"/>
  <c r="H77" i="6" s="1"/>
  <c r="J10" i="69"/>
  <c r="I10" i="69"/>
  <c r="H10" i="69"/>
  <c r="G77" i="6" s="1"/>
  <c r="D77" i="6" s="1"/>
  <c r="J9" i="69"/>
  <c r="I9" i="69"/>
  <c r="H9" i="69"/>
  <c r="F77" i="6" s="1"/>
  <c r="J8" i="69"/>
  <c r="I8" i="69"/>
  <c r="H8" i="69"/>
  <c r="I54" i="6" s="1"/>
  <c r="J7" i="69"/>
  <c r="I7" i="69"/>
  <c r="H7" i="69"/>
  <c r="H54" i="6" s="1"/>
  <c r="J5" i="69"/>
  <c r="I5" i="69"/>
  <c r="H5" i="69"/>
  <c r="J20" i="2" s="1"/>
  <c r="C5" i="69"/>
  <c r="B5" i="69"/>
  <c r="J4" i="69"/>
  <c r="I4" i="69"/>
  <c r="H4" i="69"/>
  <c r="F31" i="6" s="1"/>
  <c r="H3" i="69"/>
  <c r="E54" i="6" s="1"/>
  <c r="J12" i="68"/>
  <c r="J11" i="68"/>
  <c r="J10" i="68"/>
  <c r="J9" i="68"/>
  <c r="J8" i="68"/>
  <c r="J7" i="68"/>
  <c r="H7" i="68"/>
  <c r="I53" i="6" s="1"/>
  <c r="J6" i="68"/>
  <c r="H6" i="68"/>
  <c r="H53" i="6" s="1"/>
  <c r="J5" i="68"/>
  <c r="H5" i="68"/>
  <c r="G53" i="6" s="1"/>
  <c r="J19" i="2"/>
  <c r="C5" i="68"/>
  <c r="B5" i="68"/>
  <c r="J4" i="68"/>
  <c r="H4" i="68"/>
  <c r="F53" i="6" s="1"/>
  <c r="H19" i="67"/>
  <c r="I121" i="6" s="1"/>
  <c r="H18" i="67"/>
  <c r="H121" i="6" s="1"/>
  <c r="H17" i="67"/>
  <c r="G121" i="6" s="1"/>
  <c r="D121" i="6" s="1"/>
  <c r="H16" i="67"/>
  <c r="F121" i="6" s="1"/>
  <c r="J15" i="67"/>
  <c r="I15" i="67"/>
  <c r="H15" i="67"/>
  <c r="I98" i="6" s="1"/>
  <c r="J14" i="67"/>
  <c r="I14" i="67"/>
  <c r="H14" i="67"/>
  <c r="H98" i="6" s="1"/>
  <c r="J13" i="67"/>
  <c r="I13" i="67"/>
  <c r="H13" i="67"/>
  <c r="G98" i="6" s="1"/>
  <c r="D98" i="6" s="1"/>
  <c r="J12" i="67"/>
  <c r="I12" i="67"/>
  <c r="H12" i="67"/>
  <c r="F98" i="6" s="1"/>
  <c r="J11" i="67"/>
  <c r="I11" i="67"/>
  <c r="H11" i="67"/>
  <c r="I75" i="6" s="1"/>
  <c r="J10" i="67"/>
  <c r="I10" i="67"/>
  <c r="H10" i="67"/>
  <c r="H75" i="6" s="1"/>
  <c r="J9" i="67"/>
  <c r="I9" i="67"/>
  <c r="H9" i="67"/>
  <c r="G75" i="6" s="1"/>
  <c r="D75" i="6" s="1"/>
  <c r="J8" i="67"/>
  <c r="I8" i="67"/>
  <c r="H8" i="67"/>
  <c r="F75" i="6" s="1"/>
  <c r="J7" i="67"/>
  <c r="I7" i="67"/>
  <c r="H7" i="67"/>
  <c r="I52" i="6" s="1"/>
  <c r="J6" i="67"/>
  <c r="I6" i="67"/>
  <c r="H6" i="67"/>
  <c r="H52" i="6" s="1"/>
  <c r="J5" i="67"/>
  <c r="I5" i="67"/>
  <c r="K5" i="67" s="1"/>
  <c r="H5" i="67"/>
  <c r="J18" i="2" s="1"/>
  <c r="C5" i="67"/>
  <c r="B5" i="67" s="1"/>
  <c r="J4" i="67"/>
  <c r="I4" i="67"/>
  <c r="H4" i="67"/>
  <c r="F29" i="6" s="1"/>
  <c r="H3" i="67"/>
  <c r="E29" i="6" s="1"/>
  <c r="J37" i="66"/>
  <c r="J36" i="66"/>
  <c r="J35" i="66"/>
  <c r="J34" i="66"/>
  <c r="J33" i="66"/>
  <c r="J32" i="66"/>
  <c r="J31" i="66"/>
  <c r="J30" i="66"/>
  <c r="J29" i="66"/>
  <c r="J28" i="66"/>
  <c r="J27" i="66"/>
  <c r="J26" i="66"/>
  <c r="J25" i="66"/>
  <c r="J24" i="66"/>
  <c r="J22" i="66"/>
  <c r="J21" i="66"/>
  <c r="J20" i="66"/>
  <c r="J18" i="66"/>
  <c r="J17" i="66"/>
  <c r="J16" i="66"/>
  <c r="J15" i="66"/>
  <c r="J14" i="66"/>
  <c r="J13" i="66"/>
  <c r="J12" i="66"/>
  <c r="J11" i="66"/>
  <c r="J10" i="66"/>
  <c r="J9" i="66"/>
  <c r="J8" i="66"/>
  <c r="H8" i="66"/>
  <c r="I49" i="6" s="1"/>
  <c r="J6" i="66"/>
  <c r="H6" i="66"/>
  <c r="H49" i="6" s="1"/>
  <c r="J5" i="66"/>
  <c r="H5" i="66"/>
  <c r="G49" i="6" s="1"/>
  <c r="C5" i="66"/>
  <c r="B5" i="66"/>
  <c r="J4" i="66"/>
  <c r="H4" i="66"/>
  <c r="F49" i="6" s="1"/>
  <c r="H19" i="65"/>
  <c r="I119" i="6" s="1"/>
  <c r="H18" i="65"/>
  <c r="H119" i="6" s="1"/>
  <c r="H17" i="65"/>
  <c r="G119" i="6" s="1"/>
  <c r="D119" i="6" s="1"/>
  <c r="H16" i="65"/>
  <c r="F119" i="6" s="1"/>
  <c r="H15" i="65"/>
  <c r="I96" i="6" s="1"/>
  <c r="H14" i="65"/>
  <c r="H96" i="6" s="1"/>
  <c r="H13" i="65"/>
  <c r="G96" i="6" s="1"/>
  <c r="D96" i="6" s="1"/>
  <c r="H12" i="65"/>
  <c r="F96" i="6" s="1"/>
  <c r="H11" i="65"/>
  <c r="I73" i="6" s="1"/>
  <c r="H10" i="65"/>
  <c r="H73" i="6" s="1"/>
  <c r="J9" i="65"/>
  <c r="I9" i="65"/>
  <c r="H9" i="65"/>
  <c r="G73" i="6" s="1"/>
  <c r="D73" i="6" s="1"/>
  <c r="J8" i="65"/>
  <c r="I8" i="65"/>
  <c r="H8" i="65"/>
  <c r="F73" i="6" s="1"/>
  <c r="J7" i="65"/>
  <c r="I7" i="65"/>
  <c r="H7" i="65"/>
  <c r="I50" i="6" s="1"/>
  <c r="J6" i="65"/>
  <c r="I6" i="65"/>
  <c r="H6" i="65"/>
  <c r="K16" i="2" s="1"/>
  <c r="J5" i="65"/>
  <c r="I5" i="65"/>
  <c r="H5" i="65"/>
  <c r="G50" i="6" s="1"/>
  <c r="J16" i="2"/>
  <c r="C5" i="65"/>
  <c r="B5" i="65"/>
  <c r="J4" i="65"/>
  <c r="I4" i="65"/>
  <c r="H4" i="65"/>
  <c r="I16" i="2" s="1"/>
  <c r="H3" i="65"/>
  <c r="E50" i="6" s="1"/>
  <c r="J16" i="60"/>
  <c r="J15" i="60"/>
  <c r="J14" i="60"/>
  <c r="J13" i="60"/>
  <c r="J11" i="60"/>
  <c r="J10" i="60"/>
  <c r="J9" i="60"/>
  <c r="J8" i="60"/>
  <c r="H8" i="60"/>
  <c r="I47" i="6" s="1"/>
  <c r="J7" i="60"/>
  <c r="H7" i="60"/>
  <c r="K13" i="2" s="1"/>
  <c r="J5" i="60"/>
  <c r="H5" i="60"/>
  <c r="G47" i="6" s="1"/>
  <c r="J13" i="2"/>
  <c r="C5" i="60"/>
  <c r="B5" i="60"/>
  <c r="J4" i="60"/>
  <c r="H4" i="60"/>
  <c r="F24" i="6" s="1"/>
  <c r="H7" i="26"/>
  <c r="I58" i="6" s="1"/>
  <c r="H6" i="26"/>
  <c r="K24" i="2" s="1"/>
  <c r="H5" i="26"/>
  <c r="J24" i="2" s="1"/>
  <c r="H4" i="26"/>
  <c r="I24" i="2" s="1"/>
  <c r="H3" i="26"/>
  <c r="E35" i="6" s="1"/>
  <c r="I20" i="2"/>
  <c r="L20" i="2"/>
  <c r="K19" i="2"/>
  <c r="L13" i="2"/>
  <c r="C7" i="69"/>
  <c r="B7" i="69" s="1"/>
  <c r="C6" i="65"/>
  <c r="B6" i="65" s="1"/>
  <c r="C7" i="60"/>
  <c r="B7" i="60" s="1"/>
  <c r="H7" i="25"/>
  <c r="I56" i="6" s="1"/>
  <c r="H6" i="25"/>
  <c r="H56" i="6" s="1"/>
  <c r="H5" i="25"/>
  <c r="G56" i="6" s="1"/>
  <c r="H4" i="25"/>
  <c r="I22" i="2" s="1"/>
  <c r="H7" i="28"/>
  <c r="I55" i="6" s="1"/>
  <c r="H6" i="28"/>
  <c r="H55" i="6" s="1"/>
  <c r="H5" i="28"/>
  <c r="G55" i="6" s="1"/>
  <c r="J21" i="2"/>
  <c r="H4" i="28"/>
  <c r="I21" i="2" s="1"/>
  <c r="H7" i="27"/>
  <c r="I51" i="6" s="1"/>
  <c r="H6" i="27"/>
  <c r="H51" i="6" s="1"/>
  <c r="H5" i="27"/>
  <c r="J17" i="2" s="1"/>
  <c r="H4" i="27"/>
  <c r="F51" i="6" s="1"/>
  <c r="H7" i="30"/>
  <c r="L14" i="2" s="1"/>
  <c r="H6" i="30"/>
  <c r="H5" i="30"/>
  <c r="H4" i="30"/>
  <c r="F48" i="6" s="1"/>
  <c r="H3" i="30"/>
  <c r="E48" i="6" s="1"/>
  <c r="H7" i="24"/>
  <c r="H6" i="24"/>
  <c r="H46" i="6" s="1"/>
  <c r="H5" i="24"/>
  <c r="H4" i="24"/>
  <c r="F23" i="6" s="1"/>
  <c r="H8" i="31"/>
  <c r="L11" i="2" s="1"/>
  <c r="I45" i="6"/>
  <c r="H6" i="31"/>
  <c r="K11" i="2"/>
  <c r="H5" i="31"/>
  <c r="J11" i="2" s="1"/>
  <c r="G45" i="6"/>
  <c r="H4" i="31"/>
  <c r="F45" i="6" s="1"/>
  <c r="H9" i="29"/>
  <c r="I44" i="6" s="1"/>
  <c r="H8" i="29"/>
  <c r="K10" i="2" s="1"/>
  <c r="H6" i="29"/>
  <c r="J10" i="2" s="1"/>
  <c r="H4" i="29"/>
  <c r="F44" i="6" s="1"/>
  <c r="H7" i="23"/>
  <c r="I43" i="6" s="1"/>
  <c r="H6" i="23"/>
  <c r="H43" i="6" s="1"/>
  <c r="H5" i="23"/>
  <c r="J9" i="2" s="1"/>
  <c r="H4" i="23"/>
  <c r="F20" i="6" s="1"/>
  <c r="H3" i="23"/>
  <c r="E20" i="6" s="1"/>
  <c r="H8" i="22"/>
  <c r="I42" i="6" s="1"/>
  <c r="H7" i="22"/>
  <c r="H42" i="6" s="1"/>
  <c r="H5" i="22"/>
  <c r="G42" i="6" s="1"/>
  <c r="H4" i="22"/>
  <c r="F42" i="6" s="1"/>
  <c r="H3" i="22"/>
  <c r="E19" i="6" s="1"/>
  <c r="H8" i="32"/>
  <c r="I41" i="6" s="1"/>
  <c r="H7" i="32"/>
  <c r="H41" i="6" s="1"/>
  <c r="H6" i="32"/>
  <c r="J7" i="2" s="1"/>
  <c r="H4" i="32"/>
  <c r="F18" i="6" s="1"/>
  <c r="H7" i="5"/>
  <c r="L5" i="2" s="1"/>
  <c r="H6" i="5"/>
  <c r="H39" i="6" s="1"/>
  <c r="H5" i="5"/>
  <c r="J5" i="2" s="1"/>
  <c r="H4" i="5"/>
  <c r="I5" i="2" s="1"/>
  <c r="H3" i="5"/>
  <c r="E39" i="6" s="1"/>
  <c r="J14" i="2"/>
  <c r="K14" i="2"/>
  <c r="K12" i="2"/>
  <c r="L12" i="2"/>
  <c r="J12" i="2"/>
  <c r="C20" i="26"/>
  <c r="B20" i="26" s="1"/>
  <c r="C5" i="26"/>
  <c r="B5" i="26" s="1"/>
  <c r="B6" i="25"/>
  <c r="B5" i="25"/>
  <c r="C19" i="28"/>
  <c r="B19" i="28"/>
  <c r="B6" i="28"/>
  <c r="B5" i="28"/>
  <c r="B6" i="27"/>
  <c r="B5" i="27"/>
  <c r="C17" i="30"/>
  <c r="B17" i="30" s="1"/>
  <c r="B6" i="30"/>
  <c r="B5" i="30"/>
  <c r="B6" i="24"/>
  <c r="B5" i="24"/>
  <c r="C11" i="24"/>
  <c r="B11" i="24"/>
  <c r="C7" i="31"/>
  <c r="B7" i="31" s="1"/>
  <c r="C12" i="31"/>
  <c r="B12" i="31" s="1"/>
  <c r="C28" i="31"/>
  <c r="B28" i="31" s="1"/>
  <c r="C33" i="31"/>
  <c r="B33" i="31" s="1"/>
  <c r="C43" i="31"/>
  <c r="B43" i="31" s="1"/>
  <c r="J45" i="31"/>
  <c r="J46" i="31"/>
  <c r="J47" i="31"/>
  <c r="J48" i="31"/>
  <c r="J49" i="31"/>
  <c r="J50" i="31"/>
  <c r="J51" i="31"/>
  <c r="J29" i="31"/>
  <c r="J30" i="31"/>
  <c r="J31" i="31"/>
  <c r="J32" i="31"/>
  <c r="J38" i="31"/>
  <c r="J39" i="31"/>
  <c r="J40" i="31"/>
  <c r="J41" i="31"/>
  <c r="J42" i="31"/>
  <c r="J44" i="31"/>
  <c r="C5" i="31"/>
  <c r="C6" i="31" s="1"/>
  <c r="C18" i="29"/>
  <c r="B18" i="29" s="1"/>
  <c r="C14" i="29"/>
  <c r="C15" i="29"/>
  <c r="B15" i="29" s="1"/>
  <c r="B8" i="29"/>
  <c r="B12" i="29"/>
  <c r="B6" i="29"/>
  <c r="J17" i="29"/>
  <c r="J16" i="29"/>
  <c r="C11" i="29"/>
  <c r="B11" i="29"/>
  <c r="C7" i="29"/>
  <c r="B7" i="29"/>
  <c r="C21" i="23"/>
  <c r="B21" i="23" s="1"/>
  <c r="B6" i="23"/>
  <c r="B5" i="23"/>
  <c r="C15" i="22"/>
  <c r="B15" i="22" s="1"/>
  <c r="C8" i="22"/>
  <c r="B8" i="22" s="1"/>
  <c r="I27" i="22"/>
  <c r="J27" i="22"/>
  <c r="C6" i="22"/>
  <c r="B6" i="22" s="1"/>
  <c r="B7" i="22"/>
  <c r="J14" i="32"/>
  <c r="I14" i="32"/>
  <c r="B6" i="32"/>
  <c r="C5" i="32"/>
  <c r="C5" i="5"/>
  <c r="C6" i="5" s="1"/>
  <c r="B13" i="29"/>
  <c r="B107" i="6"/>
  <c r="B84" i="6"/>
  <c r="B61" i="6"/>
  <c r="B38" i="6"/>
  <c r="F24" i="2"/>
  <c r="C35" i="6" s="1"/>
  <c r="C104" i="6" s="1"/>
  <c r="F22" i="2"/>
  <c r="C33" i="6" s="1"/>
  <c r="F21" i="2"/>
  <c r="C32" i="6" s="1"/>
  <c r="F17" i="2"/>
  <c r="C28" i="6" s="1"/>
  <c r="C51" i="6" s="1"/>
  <c r="F14" i="2"/>
  <c r="C25" i="6" s="1"/>
  <c r="C117" i="6" s="1"/>
  <c r="F12" i="2"/>
  <c r="C23" i="6" s="1"/>
  <c r="F11" i="2"/>
  <c r="C22" i="6" s="1"/>
  <c r="F10" i="2"/>
  <c r="C21" i="6" s="1"/>
  <c r="F9" i="2"/>
  <c r="C20" i="6" s="1"/>
  <c r="F8" i="2"/>
  <c r="C19" i="6" s="1"/>
  <c r="C111" i="6" s="1"/>
  <c r="F7" i="2"/>
  <c r="C18" i="6" s="1"/>
  <c r="J52" i="32"/>
  <c r="I52" i="32"/>
  <c r="J23" i="32"/>
  <c r="I23" i="32"/>
  <c r="J22" i="32"/>
  <c r="I22" i="32"/>
  <c r="J21" i="32"/>
  <c r="I21" i="32"/>
  <c r="J20" i="32"/>
  <c r="I20" i="32"/>
  <c r="J19" i="32"/>
  <c r="I19" i="32"/>
  <c r="J18" i="32"/>
  <c r="I18" i="32"/>
  <c r="J17" i="32"/>
  <c r="I17" i="32"/>
  <c r="J16" i="32"/>
  <c r="I16" i="32"/>
  <c r="J15" i="32"/>
  <c r="I15" i="32"/>
  <c r="J13" i="32"/>
  <c r="I13" i="32"/>
  <c r="J12" i="32"/>
  <c r="I12" i="32"/>
  <c r="J11" i="32"/>
  <c r="I11" i="32"/>
  <c r="J10" i="32"/>
  <c r="I10" i="32"/>
  <c r="J9" i="32"/>
  <c r="I9" i="32"/>
  <c r="J8" i="32"/>
  <c r="I8" i="32"/>
  <c r="J7" i="32"/>
  <c r="I7" i="32"/>
  <c r="J6" i="32"/>
  <c r="I6" i="32"/>
  <c r="J4" i="32"/>
  <c r="I4" i="32"/>
  <c r="J37" i="31"/>
  <c r="J36" i="31"/>
  <c r="J35" i="31"/>
  <c r="J34" i="31"/>
  <c r="J13" i="31"/>
  <c r="J11" i="31"/>
  <c r="J10" i="31"/>
  <c r="J9" i="31"/>
  <c r="J8" i="31"/>
  <c r="J6" i="31"/>
  <c r="J5" i="31"/>
  <c r="J4" i="31"/>
  <c r="J20" i="30"/>
  <c r="I20" i="30"/>
  <c r="H20" i="30"/>
  <c r="I117" i="6" s="1"/>
  <c r="J19" i="30"/>
  <c r="I19" i="30"/>
  <c r="H19" i="30"/>
  <c r="H117" i="6" s="1"/>
  <c r="J18" i="30"/>
  <c r="I18" i="30"/>
  <c r="H18" i="30"/>
  <c r="G117" i="6" s="1"/>
  <c r="D117" i="6" s="1"/>
  <c r="J16" i="30"/>
  <c r="I16" i="30"/>
  <c r="H16" i="30"/>
  <c r="F117" i="6" s="1"/>
  <c r="J15" i="30"/>
  <c r="I15" i="30"/>
  <c r="H15" i="30"/>
  <c r="I94" i="6" s="1"/>
  <c r="J14" i="30"/>
  <c r="I14" i="30"/>
  <c r="H14" i="30"/>
  <c r="H94" i="6" s="1"/>
  <c r="J13" i="30"/>
  <c r="I13" i="30"/>
  <c r="H13" i="30"/>
  <c r="G94" i="6" s="1"/>
  <c r="D94" i="6" s="1"/>
  <c r="J12" i="30"/>
  <c r="I12" i="30"/>
  <c r="H12" i="30"/>
  <c r="F94" i="6" s="1"/>
  <c r="J11" i="30"/>
  <c r="I11" i="30"/>
  <c r="H11" i="30"/>
  <c r="I71" i="6" s="1"/>
  <c r="J10" i="30"/>
  <c r="I10" i="30"/>
  <c r="H10" i="30"/>
  <c r="H71" i="6" s="1"/>
  <c r="J9" i="30"/>
  <c r="I9" i="30"/>
  <c r="H9" i="30"/>
  <c r="G71" i="6" s="1"/>
  <c r="D71" i="6" s="1"/>
  <c r="J8" i="30"/>
  <c r="I8" i="30"/>
  <c r="H8" i="30"/>
  <c r="F71" i="6" s="1"/>
  <c r="J7" i="30"/>
  <c r="I7" i="30"/>
  <c r="C7" i="30"/>
  <c r="B7" i="30"/>
  <c r="J6" i="30"/>
  <c r="I6" i="30"/>
  <c r="J5" i="30"/>
  <c r="I5" i="30"/>
  <c r="K5" i="30" s="1"/>
  <c r="J4" i="30"/>
  <c r="I4" i="30"/>
  <c r="J33" i="29"/>
  <c r="J32" i="29"/>
  <c r="J31" i="29"/>
  <c r="J30" i="29"/>
  <c r="J29" i="29"/>
  <c r="J28" i="29"/>
  <c r="J27" i="29"/>
  <c r="J26" i="29"/>
  <c r="J25" i="29"/>
  <c r="J24" i="29"/>
  <c r="J23" i="29"/>
  <c r="J22" i="29"/>
  <c r="J21" i="29"/>
  <c r="J20" i="29"/>
  <c r="J19" i="29"/>
  <c r="J15" i="29"/>
  <c r="J14" i="29"/>
  <c r="J13" i="29"/>
  <c r="J12" i="29"/>
  <c r="J10" i="29"/>
  <c r="J9" i="29"/>
  <c r="C9" i="29"/>
  <c r="C10" i="29" s="1"/>
  <c r="B10" i="29" s="1"/>
  <c r="J8" i="29"/>
  <c r="J6" i="29"/>
  <c r="J4" i="29"/>
  <c r="J22" i="28"/>
  <c r="J21" i="28"/>
  <c r="J20" i="28"/>
  <c r="J18" i="28"/>
  <c r="J17" i="28"/>
  <c r="J16" i="28"/>
  <c r="J15" i="28"/>
  <c r="J14" i="28"/>
  <c r="J13" i="28"/>
  <c r="J12" i="28"/>
  <c r="J11" i="28"/>
  <c r="J10" i="28"/>
  <c r="J9" i="28"/>
  <c r="J8" i="28"/>
  <c r="J7" i="28"/>
  <c r="C7" i="28"/>
  <c r="B7" i="28" s="1"/>
  <c r="J6" i="28"/>
  <c r="J5" i="28"/>
  <c r="J4" i="28"/>
  <c r="J21" i="27"/>
  <c r="J20" i="27"/>
  <c r="J19" i="27"/>
  <c r="J18" i="27"/>
  <c r="J17" i="27"/>
  <c r="J16" i="27"/>
  <c r="J15" i="27"/>
  <c r="J14" i="27"/>
  <c r="J13" i="27"/>
  <c r="J12" i="27"/>
  <c r="J11" i="27"/>
  <c r="J10" i="27"/>
  <c r="J9" i="27"/>
  <c r="J8" i="27"/>
  <c r="J7" i="27"/>
  <c r="C7" i="27"/>
  <c r="C8" i="27" s="1"/>
  <c r="B8" i="27" s="1"/>
  <c r="B7" i="27"/>
  <c r="J6" i="27"/>
  <c r="J5" i="27"/>
  <c r="J4" i="27"/>
  <c r="J43" i="26"/>
  <c r="I43" i="26"/>
  <c r="J42" i="26"/>
  <c r="I42" i="26"/>
  <c r="J41" i="26"/>
  <c r="I41" i="26"/>
  <c r="J40" i="26"/>
  <c r="I40" i="26"/>
  <c r="J39" i="26"/>
  <c r="I39" i="26"/>
  <c r="J38" i="26"/>
  <c r="I38" i="26"/>
  <c r="J37" i="26"/>
  <c r="I37" i="26"/>
  <c r="J36" i="26"/>
  <c r="I36" i="26"/>
  <c r="J35" i="26"/>
  <c r="I35" i="26"/>
  <c r="J34" i="26"/>
  <c r="I34" i="26"/>
  <c r="J33" i="26"/>
  <c r="I33" i="26"/>
  <c r="J32" i="26"/>
  <c r="I32" i="26"/>
  <c r="J31" i="26"/>
  <c r="I31" i="26"/>
  <c r="J30" i="26"/>
  <c r="I30" i="26"/>
  <c r="J29" i="26"/>
  <c r="I29" i="26"/>
  <c r="J28" i="26"/>
  <c r="I28" i="26"/>
  <c r="J27" i="26"/>
  <c r="I27" i="26"/>
  <c r="J26" i="26"/>
  <c r="I26" i="26"/>
  <c r="J25" i="26"/>
  <c r="I25" i="26"/>
  <c r="J24" i="26"/>
  <c r="I24" i="26"/>
  <c r="J23" i="26"/>
  <c r="I23" i="26"/>
  <c r="J22" i="26"/>
  <c r="I22" i="26"/>
  <c r="J21" i="26"/>
  <c r="I21" i="26"/>
  <c r="H19" i="26"/>
  <c r="I127" i="6" s="1"/>
  <c r="J19" i="26"/>
  <c r="I19" i="26"/>
  <c r="H18" i="26"/>
  <c r="H127" i="6" s="1"/>
  <c r="J18" i="26"/>
  <c r="I18" i="26"/>
  <c r="H17" i="26"/>
  <c r="G127" i="6" s="1"/>
  <c r="D127" i="6" s="1"/>
  <c r="J16" i="26"/>
  <c r="I16" i="26"/>
  <c r="H16" i="26"/>
  <c r="F127" i="6" s="1"/>
  <c r="J15" i="26"/>
  <c r="I15" i="26"/>
  <c r="H15" i="26"/>
  <c r="I104" i="6" s="1"/>
  <c r="J14" i="26"/>
  <c r="I14" i="26"/>
  <c r="H14" i="26"/>
  <c r="H104" i="6" s="1"/>
  <c r="J13" i="26"/>
  <c r="I13" i="26"/>
  <c r="H13" i="26"/>
  <c r="G104" i="6" s="1"/>
  <c r="D104" i="6" s="1"/>
  <c r="J12" i="26"/>
  <c r="I12" i="26"/>
  <c r="H12" i="26"/>
  <c r="F104" i="6" s="1"/>
  <c r="J11" i="26"/>
  <c r="I11" i="26"/>
  <c r="H11" i="26"/>
  <c r="I81" i="6" s="1"/>
  <c r="J10" i="26"/>
  <c r="I10" i="26"/>
  <c r="H10" i="26"/>
  <c r="H81" i="6" s="1"/>
  <c r="J9" i="26"/>
  <c r="I9" i="26"/>
  <c r="H9" i="26"/>
  <c r="G81" i="6" s="1"/>
  <c r="D81" i="6" s="1"/>
  <c r="J8" i="26"/>
  <c r="I8" i="26"/>
  <c r="H8" i="26"/>
  <c r="F81" i="6" s="1"/>
  <c r="J7" i="26"/>
  <c r="I7" i="26"/>
  <c r="J6" i="26"/>
  <c r="I6" i="26"/>
  <c r="J5" i="26"/>
  <c r="I5" i="26"/>
  <c r="J4" i="26"/>
  <c r="I4" i="26"/>
  <c r="J55" i="25"/>
  <c r="J54" i="25"/>
  <c r="J53" i="25"/>
  <c r="J52" i="25"/>
  <c r="J51" i="25"/>
  <c r="J50" i="25"/>
  <c r="J49" i="25"/>
  <c r="J48" i="25"/>
  <c r="J47" i="25"/>
  <c r="J46" i="25"/>
  <c r="J45" i="25"/>
  <c r="J44" i="25"/>
  <c r="J43" i="25"/>
  <c r="J42" i="25"/>
  <c r="J41" i="25"/>
  <c r="J40" i="25"/>
  <c r="J39" i="25"/>
  <c r="J38" i="25"/>
  <c r="J37" i="25"/>
  <c r="J36" i="25"/>
  <c r="J35" i="25"/>
  <c r="J34" i="25"/>
  <c r="J33" i="25"/>
  <c r="J32" i="25"/>
  <c r="J31" i="25"/>
  <c r="J30" i="25"/>
  <c r="J29" i="25"/>
  <c r="J28" i="25"/>
  <c r="J27" i="25"/>
  <c r="J26" i="25"/>
  <c r="J25" i="25"/>
  <c r="J24" i="25"/>
  <c r="J23" i="25"/>
  <c r="J22" i="25"/>
  <c r="J21" i="25"/>
  <c r="J20" i="25"/>
  <c r="J19" i="25"/>
  <c r="J18" i="25"/>
  <c r="J17" i="25"/>
  <c r="J12" i="25"/>
  <c r="J11" i="25"/>
  <c r="J10" i="25"/>
  <c r="J9" i="25"/>
  <c r="J8" i="25"/>
  <c r="J7" i="25"/>
  <c r="C7" i="25"/>
  <c r="J6" i="25"/>
  <c r="J5" i="25"/>
  <c r="J4" i="25"/>
  <c r="J23" i="24"/>
  <c r="J22" i="24"/>
  <c r="J21" i="24"/>
  <c r="J20" i="24"/>
  <c r="J19" i="24"/>
  <c r="J18" i="24"/>
  <c r="H18" i="24"/>
  <c r="G115" i="6" s="1"/>
  <c r="D115" i="6" s="1"/>
  <c r="J17" i="24"/>
  <c r="J16" i="24"/>
  <c r="J15" i="24"/>
  <c r="J14" i="24"/>
  <c r="J13" i="24"/>
  <c r="J12" i="24"/>
  <c r="J10" i="24"/>
  <c r="J9" i="24"/>
  <c r="J8" i="24"/>
  <c r="J7" i="24"/>
  <c r="C7" i="24"/>
  <c r="B7" i="24"/>
  <c r="J6" i="24"/>
  <c r="J5" i="24"/>
  <c r="J4" i="24"/>
  <c r="I12" i="2"/>
  <c r="J32" i="23"/>
  <c r="I32" i="23"/>
  <c r="J31" i="23"/>
  <c r="I31" i="23"/>
  <c r="J30" i="23"/>
  <c r="I30" i="23"/>
  <c r="J29" i="23"/>
  <c r="I29" i="23"/>
  <c r="J28" i="23"/>
  <c r="I28" i="23"/>
  <c r="J27" i="23"/>
  <c r="I27" i="23"/>
  <c r="J26" i="23"/>
  <c r="I26" i="23"/>
  <c r="K26" i="23" s="1"/>
  <c r="J25" i="23"/>
  <c r="I25" i="23"/>
  <c r="J24" i="23"/>
  <c r="I24" i="23"/>
  <c r="J23" i="23"/>
  <c r="I23" i="23"/>
  <c r="J22" i="23"/>
  <c r="I22" i="23"/>
  <c r="J20" i="23"/>
  <c r="I20" i="23"/>
  <c r="J19" i="23"/>
  <c r="I19" i="23"/>
  <c r="H19" i="23"/>
  <c r="I112" i="6" s="1"/>
  <c r="J18" i="23"/>
  <c r="I18" i="23"/>
  <c r="H18" i="23"/>
  <c r="H112" i="6" s="1"/>
  <c r="J17" i="23"/>
  <c r="I17" i="23"/>
  <c r="H17" i="23"/>
  <c r="G112" i="6" s="1"/>
  <c r="D112" i="6" s="1"/>
  <c r="J16" i="23"/>
  <c r="I16" i="23"/>
  <c r="H16" i="23"/>
  <c r="F112" i="6" s="1"/>
  <c r="J15" i="23"/>
  <c r="I15" i="23"/>
  <c r="H15" i="23"/>
  <c r="I89" i="6" s="1"/>
  <c r="J14" i="23"/>
  <c r="I14" i="23"/>
  <c r="H14" i="23"/>
  <c r="H89" i="6" s="1"/>
  <c r="J13" i="23"/>
  <c r="I13" i="23"/>
  <c r="H13" i="23"/>
  <c r="G89" i="6" s="1"/>
  <c r="D89" i="6" s="1"/>
  <c r="J12" i="23"/>
  <c r="I12" i="23"/>
  <c r="H12" i="23"/>
  <c r="F89" i="6" s="1"/>
  <c r="J11" i="23"/>
  <c r="I11" i="23"/>
  <c r="H11" i="23"/>
  <c r="I66" i="6" s="1"/>
  <c r="J10" i="23"/>
  <c r="I10" i="23"/>
  <c r="H10" i="23"/>
  <c r="H66" i="6" s="1"/>
  <c r="J9" i="23"/>
  <c r="I9" i="23"/>
  <c r="H9" i="23"/>
  <c r="G66" i="6" s="1"/>
  <c r="D66" i="6" s="1"/>
  <c r="J8" i="23"/>
  <c r="I8" i="23"/>
  <c r="H8" i="23"/>
  <c r="F66" i="6" s="1"/>
  <c r="J7" i="23"/>
  <c r="I7" i="23"/>
  <c r="K7" i="23" s="1"/>
  <c r="C7" i="23"/>
  <c r="B7" i="23" s="1"/>
  <c r="J6" i="23"/>
  <c r="I6" i="23"/>
  <c r="J5" i="23"/>
  <c r="I5" i="23"/>
  <c r="J4" i="23"/>
  <c r="I4" i="23"/>
  <c r="J53" i="22"/>
  <c r="I53" i="22"/>
  <c r="J52" i="22"/>
  <c r="I52" i="22"/>
  <c r="J51" i="22"/>
  <c r="I51" i="22"/>
  <c r="J50" i="22"/>
  <c r="I50" i="22"/>
  <c r="J49" i="22"/>
  <c r="I49" i="22"/>
  <c r="J48" i="22"/>
  <c r="I48" i="22"/>
  <c r="J47" i="22"/>
  <c r="I47" i="22"/>
  <c r="J46" i="22"/>
  <c r="I46" i="22"/>
  <c r="J45" i="22"/>
  <c r="I45" i="22"/>
  <c r="J44" i="22"/>
  <c r="I44" i="22"/>
  <c r="J43" i="22"/>
  <c r="I43" i="22"/>
  <c r="J42" i="22"/>
  <c r="I42" i="22"/>
  <c r="J41" i="22"/>
  <c r="I41" i="22"/>
  <c r="J40" i="22"/>
  <c r="I40" i="22"/>
  <c r="J39" i="22"/>
  <c r="I39" i="22"/>
  <c r="J38" i="22"/>
  <c r="I38" i="22"/>
  <c r="J37" i="22"/>
  <c r="I37" i="22"/>
  <c r="J36" i="22"/>
  <c r="I36" i="22"/>
  <c r="J35" i="22"/>
  <c r="I35" i="22"/>
  <c r="J34" i="22"/>
  <c r="I34" i="22"/>
  <c r="J33" i="22"/>
  <c r="I33" i="22"/>
  <c r="J32" i="22"/>
  <c r="I32" i="22"/>
  <c r="J31" i="22"/>
  <c r="I31" i="22"/>
  <c r="J30" i="22"/>
  <c r="I30" i="22"/>
  <c r="J29" i="22"/>
  <c r="I29" i="22"/>
  <c r="J28" i="22"/>
  <c r="I28" i="22"/>
  <c r="J25" i="22"/>
  <c r="I25" i="22"/>
  <c r="J24" i="22"/>
  <c r="I24" i="22"/>
  <c r="J23" i="22"/>
  <c r="I23" i="22"/>
  <c r="J22" i="22"/>
  <c r="I22" i="22"/>
  <c r="H21" i="22"/>
  <c r="I111" i="6" s="1"/>
  <c r="J21" i="22"/>
  <c r="I21" i="22"/>
  <c r="H20" i="22"/>
  <c r="H111" i="6" s="1"/>
  <c r="J20" i="22"/>
  <c r="I20" i="22"/>
  <c r="H19" i="22"/>
  <c r="G111" i="6" s="1"/>
  <c r="D111" i="6" s="1"/>
  <c r="J19" i="22"/>
  <c r="I19" i="22"/>
  <c r="H18" i="22"/>
  <c r="F111" i="6" s="1"/>
  <c r="J18" i="22"/>
  <c r="I18" i="22"/>
  <c r="H17" i="22"/>
  <c r="I88" i="6" s="1"/>
  <c r="J17" i="22"/>
  <c r="I17" i="22"/>
  <c r="H16" i="22"/>
  <c r="H88" i="6" s="1"/>
  <c r="J16" i="22"/>
  <c r="I16" i="22"/>
  <c r="H14" i="22"/>
  <c r="G88" i="6" s="1"/>
  <c r="D88" i="6" s="1"/>
  <c r="J14" i="22"/>
  <c r="I14" i="22"/>
  <c r="H13" i="22"/>
  <c r="F88" i="6" s="1"/>
  <c r="J13" i="22"/>
  <c r="I13" i="22"/>
  <c r="H12" i="22"/>
  <c r="I65" i="6" s="1"/>
  <c r="J12" i="22"/>
  <c r="I12" i="22"/>
  <c r="H11" i="22"/>
  <c r="H65" i="6" s="1"/>
  <c r="J11" i="22"/>
  <c r="I11" i="22"/>
  <c r="H10" i="22"/>
  <c r="G65" i="6" s="1"/>
  <c r="D65" i="6" s="1"/>
  <c r="J10" i="22"/>
  <c r="I10" i="22"/>
  <c r="H9" i="22"/>
  <c r="F65" i="6" s="1"/>
  <c r="J9" i="22"/>
  <c r="I9" i="22"/>
  <c r="J8" i="22"/>
  <c r="I8" i="22"/>
  <c r="J7" i="22"/>
  <c r="I7" i="22"/>
  <c r="J4" i="22"/>
  <c r="I4" i="22"/>
  <c r="H19" i="5"/>
  <c r="I108" i="6" s="1"/>
  <c r="H18" i="5"/>
  <c r="H108" i="6" s="1"/>
  <c r="H17" i="5"/>
  <c r="G108" i="6" s="1"/>
  <c r="D108" i="6" s="1"/>
  <c r="H16" i="5"/>
  <c r="F108" i="6" s="1"/>
  <c r="H15" i="5"/>
  <c r="I85" i="6" s="1"/>
  <c r="H14" i="5"/>
  <c r="H85" i="6" s="1"/>
  <c r="H13" i="5"/>
  <c r="G85" i="6" s="1"/>
  <c r="H12" i="5"/>
  <c r="F85" i="6" s="1"/>
  <c r="H11" i="5"/>
  <c r="I62" i="6" s="1"/>
  <c r="H10" i="5"/>
  <c r="H62" i="6" s="1"/>
  <c r="H9" i="5"/>
  <c r="G62" i="6" s="1"/>
  <c r="H8" i="5"/>
  <c r="F62" i="6" s="1"/>
  <c r="J5" i="5"/>
  <c r="J4" i="5"/>
  <c r="I5" i="5"/>
  <c r="I4" i="5"/>
  <c r="F5" i="2"/>
  <c r="C16" i="6" s="1"/>
  <c r="C62" i="6" s="1"/>
  <c r="J7" i="5"/>
  <c r="J8" i="5"/>
  <c r="J9" i="5"/>
  <c r="J10" i="5"/>
  <c r="J11" i="5"/>
  <c r="J6" i="5"/>
  <c r="I7" i="5"/>
  <c r="I8" i="5"/>
  <c r="I9" i="5"/>
  <c r="I10" i="5"/>
  <c r="I11" i="5"/>
  <c r="I6" i="5"/>
  <c r="J43" i="5"/>
  <c r="I43" i="5"/>
  <c r="J41" i="5"/>
  <c r="I41" i="5"/>
  <c r="J40" i="5"/>
  <c r="I40" i="5"/>
  <c r="J39" i="5"/>
  <c r="I39" i="5"/>
  <c r="J38" i="5"/>
  <c r="I38" i="5"/>
  <c r="J37" i="5"/>
  <c r="I37" i="5"/>
  <c r="J36" i="5"/>
  <c r="I36" i="5"/>
  <c r="J35" i="5"/>
  <c r="I35" i="5"/>
  <c r="J34" i="5"/>
  <c r="I34" i="5"/>
  <c r="J33" i="5"/>
  <c r="I33" i="5"/>
  <c r="J32" i="5"/>
  <c r="I32" i="5"/>
  <c r="J31" i="5"/>
  <c r="I31" i="5"/>
  <c r="J30" i="5"/>
  <c r="I30" i="5"/>
  <c r="J29" i="5"/>
  <c r="I29" i="5"/>
  <c r="J28" i="5"/>
  <c r="I28" i="5"/>
  <c r="J27" i="5"/>
  <c r="I27" i="5"/>
  <c r="J26" i="5"/>
  <c r="I26" i="5"/>
  <c r="J25" i="5"/>
  <c r="I25" i="5"/>
  <c r="J24" i="5"/>
  <c r="I24" i="5"/>
  <c r="J23" i="5"/>
  <c r="I23" i="5"/>
  <c r="J21" i="5"/>
  <c r="I21" i="5"/>
  <c r="J20" i="5"/>
  <c r="I20" i="5"/>
  <c r="J19" i="5"/>
  <c r="I19" i="5"/>
  <c r="J18" i="5"/>
  <c r="I18" i="5"/>
  <c r="J17" i="5"/>
  <c r="I17" i="5"/>
  <c r="J16" i="5"/>
  <c r="I16" i="5"/>
  <c r="J15" i="5"/>
  <c r="I15" i="5"/>
  <c r="J14" i="5"/>
  <c r="I14" i="5"/>
  <c r="J13" i="5"/>
  <c r="I13" i="5"/>
  <c r="J12" i="5"/>
  <c r="I12" i="5"/>
  <c r="C26" i="22"/>
  <c r="B26" i="22" s="1"/>
  <c r="H17" i="32"/>
  <c r="F110" i="6" s="1"/>
  <c r="H16" i="32"/>
  <c r="I87" i="6" s="1"/>
  <c r="H20" i="32"/>
  <c r="I110" i="6" s="1"/>
  <c r="H15" i="32"/>
  <c r="H87" i="6" s="1"/>
  <c r="H14" i="32"/>
  <c r="G87" i="6" s="1"/>
  <c r="D87" i="6" s="1"/>
  <c r="H3" i="32"/>
  <c r="E18" i="6" s="1"/>
  <c r="H18" i="32"/>
  <c r="G110" i="6" s="1"/>
  <c r="D110" i="6" s="1"/>
  <c r="H19" i="32"/>
  <c r="H110" i="6" s="1"/>
  <c r="H10" i="32"/>
  <c r="G64" i="6" s="1"/>
  <c r="D64" i="6" s="1"/>
  <c r="H13" i="32"/>
  <c r="F87" i="6" s="1"/>
  <c r="H9" i="32"/>
  <c r="F64" i="6" s="1"/>
  <c r="H11" i="32"/>
  <c r="H64" i="6" s="1"/>
  <c r="H12" i="32"/>
  <c r="I64" i="6" s="1"/>
  <c r="H45" i="6"/>
  <c r="I19" i="2" l="1"/>
  <c r="F50" i="6"/>
  <c r="I57" i="6"/>
  <c r="F30" i="6"/>
  <c r="F27" i="6"/>
  <c r="D30" i="6"/>
  <c r="K29" i="66"/>
  <c r="K10" i="30"/>
  <c r="K44" i="5"/>
  <c r="K18" i="26"/>
  <c r="K34" i="26"/>
  <c r="K42" i="26"/>
  <c r="K15" i="32"/>
  <c r="K23" i="32"/>
  <c r="K7" i="69"/>
  <c r="K16" i="23"/>
  <c r="K36" i="5"/>
  <c r="K20" i="22"/>
  <c r="K53" i="22"/>
  <c r="K53" i="69"/>
  <c r="K20" i="23"/>
  <c r="K7" i="30"/>
  <c r="K55" i="69"/>
  <c r="K44" i="32"/>
  <c r="K12" i="26"/>
  <c r="K13" i="29"/>
  <c r="K18" i="5"/>
  <c r="K47" i="25"/>
  <c r="K6" i="65"/>
  <c r="K10" i="67"/>
  <c r="K18" i="69"/>
  <c r="K26" i="69"/>
  <c r="K43" i="69"/>
  <c r="K32" i="29"/>
  <c r="K14" i="69"/>
  <c r="K29" i="69"/>
  <c r="K37" i="69"/>
  <c r="K31" i="29"/>
  <c r="K12" i="66"/>
  <c r="K38" i="32"/>
  <c r="K30" i="32"/>
  <c r="K45" i="5"/>
  <c r="K16" i="69"/>
  <c r="K22" i="69"/>
  <c r="K32" i="69"/>
  <c r="C58" i="6"/>
  <c r="C127" i="6"/>
  <c r="K35" i="29"/>
  <c r="K23" i="30"/>
  <c r="K22" i="30"/>
  <c r="K33" i="25"/>
  <c r="C92" i="6"/>
  <c r="C69" i="6"/>
  <c r="C46" i="6"/>
  <c r="C72" i="6"/>
  <c r="C49" i="6"/>
  <c r="C119" i="6"/>
  <c r="C50" i="6"/>
  <c r="K9" i="65"/>
  <c r="K49" i="69"/>
  <c r="K57" i="69"/>
  <c r="C47" i="6"/>
  <c r="C81" i="6"/>
  <c r="K24" i="23"/>
  <c r="K32" i="23"/>
  <c r="K7" i="26"/>
  <c r="K43" i="26"/>
  <c r="C70" i="6"/>
  <c r="K51" i="69"/>
  <c r="K17" i="23"/>
  <c r="K15" i="30"/>
  <c r="K26" i="29"/>
  <c r="K36" i="29"/>
  <c r="K21" i="30"/>
  <c r="K32" i="66"/>
  <c r="K26" i="30"/>
  <c r="K5" i="22"/>
  <c r="K13" i="23"/>
  <c r="K39" i="32"/>
  <c r="K31" i="32"/>
  <c r="K13" i="27"/>
  <c r="K17" i="5"/>
  <c r="K26" i="5"/>
  <c r="K43" i="5"/>
  <c r="K4" i="22"/>
  <c r="K35" i="22"/>
  <c r="K43" i="22"/>
  <c r="K51" i="22"/>
  <c r="K7" i="65"/>
  <c r="K5" i="68"/>
  <c r="C75" i="6"/>
  <c r="C121" i="6"/>
  <c r="C52" i="6"/>
  <c r="C98" i="6"/>
  <c r="C43" i="6"/>
  <c r="C66" i="6"/>
  <c r="C89" i="6"/>
  <c r="C112" i="6"/>
  <c r="C57" i="6"/>
  <c r="C80" i="6"/>
  <c r="C103" i="6"/>
  <c r="C126" i="6"/>
  <c r="C55" i="6"/>
  <c r="C101" i="6"/>
  <c r="C124" i="6"/>
  <c r="C78" i="6"/>
  <c r="C76" i="6"/>
  <c r="C99" i="6"/>
  <c r="C122" i="6"/>
  <c r="C53" i="6"/>
  <c r="C77" i="6"/>
  <c r="C123" i="6"/>
  <c r="C54" i="6"/>
  <c r="C100" i="6"/>
  <c r="C40" i="6"/>
  <c r="C63" i="6"/>
  <c r="C86" i="6"/>
  <c r="C109" i="6"/>
  <c r="C110" i="6"/>
  <c r="C64" i="6"/>
  <c r="C87" i="6"/>
  <c r="C41" i="6"/>
  <c r="K5" i="24"/>
  <c r="K46" i="32"/>
  <c r="K38" i="29"/>
  <c r="K28" i="25"/>
  <c r="K5" i="74"/>
  <c r="C116" i="6"/>
  <c r="K29" i="25"/>
  <c r="K22" i="25"/>
  <c r="C74" i="6"/>
  <c r="C95" i="6"/>
  <c r="C115" i="6"/>
  <c r="K24" i="30"/>
  <c r="C120" i="6"/>
  <c r="K28" i="29"/>
  <c r="C97" i="6"/>
  <c r="K44" i="25"/>
  <c r="C96" i="6"/>
  <c r="K30" i="25"/>
  <c r="C73" i="6"/>
  <c r="K50" i="25"/>
  <c r="K8" i="24"/>
  <c r="K27" i="30"/>
  <c r="C118" i="6"/>
  <c r="K8" i="25"/>
  <c r="K25" i="30"/>
  <c r="K31" i="5"/>
  <c r="K22" i="22"/>
  <c r="K32" i="22"/>
  <c r="K52" i="32"/>
  <c r="K33" i="69"/>
  <c r="K41" i="69"/>
  <c r="K52" i="25"/>
  <c r="K34" i="29"/>
  <c r="B22" i="5"/>
  <c r="K22" i="5"/>
  <c r="K38" i="5"/>
  <c r="I14" i="2"/>
  <c r="H7" i="2"/>
  <c r="B5" i="31"/>
  <c r="L24" i="2"/>
  <c r="F58" i="6"/>
  <c r="G58" i="6"/>
  <c r="G57" i="6"/>
  <c r="C6" i="74"/>
  <c r="B6" i="74" s="1"/>
  <c r="K4" i="74"/>
  <c r="E34" i="6"/>
  <c r="D34" i="6"/>
  <c r="B7" i="25"/>
  <c r="D32" i="6"/>
  <c r="K22" i="28"/>
  <c r="C8" i="28"/>
  <c r="B8" i="28" s="1"/>
  <c r="L21" i="2"/>
  <c r="D31" i="6"/>
  <c r="E31" i="6"/>
  <c r="K8" i="68"/>
  <c r="C6" i="68"/>
  <c r="B6" i="68" s="1"/>
  <c r="E53" i="6"/>
  <c r="C6" i="67"/>
  <c r="D29" i="6"/>
  <c r="H18" i="2"/>
  <c r="E52" i="6"/>
  <c r="K12" i="27"/>
  <c r="G51" i="6"/>
  <c r="H50" i="6"/>
  <c r="C7" i="65"/>
  <c r="H16" i="2"/>
  <c r="E27" i="6"/>
  <c r="D27" i="6"/>
  <c r="K33" i="66"/>
  <c r="D26" i="6"/>
  <c r="E26" i="6"/>
  <c r="E49" i="6"/>
  <c r="D25" i="6"/>
  <c r="H13" i="2"/>
  <c r="C8" i="60"/>
  <c r="B8" i="60" s="1"/>
  <c r="E24" i="6"/>
  <c r="D24" i="6"/>
  <c r="K9" i="24"/>
  <c r="F46" i="6"/>
  <c r="D23" i="6"/>
  <c r="C16" i="29"/>
  <c r="G44" i="6"/>
  <c r="I10" i="2"/>
  <c r="K45" i="32"/>
  <c r="K29" i="32"/>
  <c r="K24" i="32"/>
  <c r="F41" i="6"/>
  <c r="I7" i="2"/>
  <c r="G41" i="6"/>
  <c r="K6" i="32"/>
  <c r="K7" i="2"/>
  <c r="L7" i="2"/>
  <c r="C6" i="26"/>
  <c r="E56" i="6"/>
  <c r="K27" i="31"/>
  <c r="E21" i="6"/>
  <c r="K6" i="29"/>
  <c r="K27" i="22"/>
  <c r="E41" i="6"/>
  <c r="E40" i="6"/>
  <c r="K16" i="25"/>
  <c r="K15" i="25"/>
  <c r="K22" i="2"/>
  <c r="K14" i="25"/>
  <c r="D33" i="6"/>
  <c r="C102" i="6"/>
  <c r="C125" i="6"/>
  <c r="C56" i="6"/>
  <c r="C79" i="6"/>
  <c r="K53" i="25"/>
  <c r="K37" i="25"/>
  <c r="J22" i="2"/>
  <c r="L22" i="2"/>
  <c r="K43" i="25"/>
  <c r="C68" i="6"/>
  <c r="C45" i="6"/>
  <c r="C91" i="6"/>
  <c r="C114" i="6"/>
  <c r="K18" i="31"/>
  <c r="C44" i="6"/>
  <c r="C67" i="6"/>
  <c r="C90" i="6"/>
  <c r="C113" i="6"/>
  <c r="K15" i="29"/>
  <c r="B9" i="29"/>
  <c r="L10" i="2"/>
  <c r="H44" i="6"/>
  <c r="I8" i="2"/>
  <c r="K16" i="22"/>
  <c r="K17" i="22"/>
  <c r="J8" i="2"/>
  <c r="K8" i="2"/>
  <c r="C42" i="6"/>
  <c r="C65" i="6"/>
  <c r="C88" i="6"/>
  <c r="L8" i="2"/>
  <c r="K49" i="22"/>
  <c r="F19" i="6"/>
  <c r="K7" i="22"/>
  <c r="E25" i="6"/>
  <c r="H14" i="2"/>
  <c r="C48" i="6"/>
  <c r="C71" i="6"/>
  <c r="C94" i="6"/>
  <c r="C8" i="30"/>
  <c r="F25" i="6"/>
  <c r="I48" i="6"/>
  <c r="G39" i="6"/>
  <c r="K12" i="5"/>
  <c r="K20" i="5"/>
  <c r="H58" i="6"/>
  <c r="F35" i="6"/>
  <c r="E58" i="6"/>
  <c r="D35" i="6"/>
  <c r="K17" i="27"/>
  <c r="D28" i="6"/>
  <c r="E28" i="6"/>
  <c r="C9" i="24"/>
  <c r="B9" i="24" s="1"/>
  <c r="C8" i="24"/>
  <c r="B8" i="24" s="1"/>
  <c r="H12" i="2"/>
  <c r="E23" i="6"/>
  <c r="K42" i="31"/>
  <c r="K41" i="31"/>
  <c r="K13" i="31"/>
  <c r="F22" i="6"/>
  <c r="I11" i="2"/>
  <c r="K5" i="31"/>
  <c r="D22" i="6"/>
  <c r="E45" i="6"/>
  <c r="F21" i="6"/>
  <c r="D21" i="6"/>
  <c r="E44" i="6"/>
  <c r="D20" i="6"/>
  <c r="E43" i="6"/>
  <c r="C9" i="22"/>
  <c r="E42" i="6"/>
  <c r="D19" i="6"/>
  <c r="C10" i="32"/>
  <c r="B10" i="32" s="1"/>
  <c r="D18" i="6"/>
  <c r="D17" i="6"/>
  <c r="F16" i="6"/>
  <c r="F39" i="6"/>
  <c r="I39" i="6"/>
  <c r="K5" i="2"/>
  <c r="C7" i="5"/>
  <c r="C8" i="5" s="1"/>
  <c r="E16" i="6"/>
  <c r="E55" i="6"/>
  <c r="E32" i="6"/>
  <c r="F34" i="6"/>
  <c r="F57" i="6"/>
  <c r="H23" i="2"/>
  <c r="L19" i="2"/>
  <c r="L16" i="2"/>
  <c r="G15" i="6"/>
  <c r="G9" i="6" s="1"/>
  <c r="F47" i="6"/>
  <c r="H15" i="6"/>
  <c r="H9" i="6" s="1"/>
  <c r="G61" i="6"/>
  <c r="G84" i="6"/>
  <c r="I15" i="6"/>
  <c r="I9" i="6" s="1"/>
  <c r="E61" i="6"/>
  <c r="G107" i="6"/>
  <c r="D63" i="6"/>
  <c r="D86" i="6"/>
  <c r="G40" i="6"/>
  <c r="E107" i="6"/>
  <c r="H61" i="6"/>
  <c r="E84" i="6"/>
  <c r="H107" i="6"/>
  <c r="I84" i="6"/>
  <c r="I107" i="6"/>
  <c r="D107" i="6"/>
  <c r="F107" i="6"/>
  <c r="H84" i="6"/>
  <c r="F84" i="6"/>
  <c r="I61" i="6"/>
  <c r="F61" i="6"/>
  <c r="K40" i="25"/>
  <c r="K51" i="31"/>
  <c r="K8" i="27"/>
  <c r="K8" i="66"/>
  <c r="K4" i="67"/>
  <c r="K14" i="67"/>
  <c r="K11" i="69"/>
  <c r="K41" i="32"/>
  <c r="K40" i="32"/>
  <c r="K17" i="26"/>
  <c r="K12" i="68"/>
  <c r="K20" i="31"/>
  <c r="K11" i="30"/>
  <c r="K6" i="67"/>
  <c r="K19" i="69"/>
  <c r="K45" i="69"/>
  <c r="K6" i="74"/>
  <c r="K17" i="31"/>
  <c r="K51" i="32"/>
  <c r="K50" i="32"/>
  <c r="K15" i="28"/>
  <c r="K14" i="60"/>
  <c r="K42" i="32"/>
  <c r="K33" i="32"/>
  <c r="K21" i="31"/>
  <c r="K29" i="5"/>
  <c r="K22" i="23"/>
  <c r="K22" i="26"/>
  <c r="K38" i="26"/>
  <c r="K8" i="74"/>
  <c r="K4" i="32"/>
  <c r="C39" i="6"/>
  <c r="K21" i="22"/>
  <c r="K39" i="26"/>
  <c r="K7" i="27"/>
  <c r="K13" i="30"/>
  <c r="K20" i="29"/>
  <c r="K23" i="5"/>
  <c r="K8" i="65"/>
  <c r="K47" i="31"/>
  <c r="K21" i="66"/>
  <c r="K20" i="25"/>
  <c r="K15" i="26"/>
  <c r="K19" i="30"/>
  <c r="K17" i="29"/>
  <c r="K20" i="27"/>
  <c r="K40" i="22"/>
  <c r="K14" i="28"/>
  <c r="K34" i="25"/>
  <c r="K7" i="67"/>
  <c r="K23" i="22"/>
  <c r="K12" i="23"/>
  <c r="K25" i="23"/>
  <c r="K33" i="26"/>
  <c r="K10" i="24"/>
  <c r="K48" i="22"/>
  <c r="K24" i="22"/>
  <c r="K34" i="22"/>
  <c r="K42" i="22"/>
  <c r="K50" i="22"/>
  <c r="K14" i="30"/>
  <c r="K8" i="67"/>
  <c r="K9" i="68"/>
  <c r="K35" i="5"/>
  <c r="K44" i="22"/>
  <c r="K52" i="22"/>
  <c r="K19" i="5"/>
  <c r="K28" i="5"/>
  <c r="K18" i="25"/>
  <c r="K15" i="67"/>
  <c r="K12" i="69"/>
  <c r="K25" i="69"/>
  <c r="K34" i="69"/>
  <c r="K42" i="69"/>
  <c r="K18" i="24"/>
  <c r="K4" i="25"/>
  <c r="K30" i="22"/>
  <c r="K38" i="22"/>
  <c r="K15" i="23"/>
  <c r="K32" i="31"/>
  <c r="K19" i="24"/>
  <c r="K9" i="26"/>
  <c r="K9" i="60"/>
  <c r="K21" i="29"/>
  <c r="K31" i="31"/>
  <c r="K13" i="60"/>
  <c r="K33" i="5"/>
  <c r="K31" i="23"/>
  <c r="K50" i="69"/>
  <c r="K50" i="31"/>
  <c r="K41" i="25"/>
  <c r="K29" i="31"/>
  <c r="K26" i="31"/>
  <c r="K27" i="5"/>
  <c r="K4" i="5"/>
  <c r="K5" i="26"/>
  <c r="K11" i="26"/>
  <c r="K8" i="30"/>
  <c r="K7" i="32"/>
  <c r="K9" i="67"/>
  <c r="K17" i="69"/>
  <c r="K52" i="69"/>
  <c r="K24" i="31"/>
  <c r="K18" i="22"/>
  <c r="K25" i="66"/>
  <c r="K21" i="27"/>
  <c r="K12" i="74"/>
  <c r="K48" i="31"/>
  <c r="K8" i="23"/>
  <c r="K9" i="74"/>
  <c r="K11" i="5"/>
  <c r="K14" i="22"/>
  <c r="K19" i="23"/>
  <c r="K27" i="23"/>
  <c r="K10" i="31"/>
  <c r="K46" i="31"/>
  <c r="K8" i="31"/>
  <c r="K17" i="66"/>
  <c r="K18" i="27"/>
  <c r="K36" i="22"/>
  <c r="K20" i="30"/>
  <c r="K13" i="5"/>
  <c r="K21" i="5"/>
  <c r="K30" i="5"/>
  <c r="K45" i="22"/>
  <c r="K9" i="23"/>
  <c r="K19" i="26"/>
  <c r="K27" i="26"/>
  <c r="K35" i="26"/>
  <c r="K45" i="31"/>
  <c r="K4" i="65"/>
  <c r="K11" i="76"/>
  <c r="K40" i="31"/>
  <c r="K49" i="25"/>
  <c r="K9" i="27"/>
  <c r="K9" i="5"/>
  <c r="K8" i="5"/>
  <c r="K14" i="66"/>
  <c r="K29" i="23"/>
  <c r="K21" i="26"/>
  <c r="K12" i="67"/>
  <c r="K6" i="76"/>
  <c r="K48" i="32"/>
  <c r="K31" i="66"/>
  <c r="K13" i="66"/>
  <c r="K39" i="5"/>
  <c r="K6" i="5"/>
  <c r="K47" i="22"/>
  <c r="K16" i="30"/>
  <c r="K20" i="69"/>
  <c r="K30" i="69"/>
  <c r="K36" i="31"/>
  <c r="K30" i="66"/>
  <c r="K4" i="29"/>
  <c r="K35" i="31"/>
  <c r="K16" i="60"/>
  <c r="K16" i="5"/>
  <c r="K40" i="5"/>
  <c r="K11" i="22"/>
  <c r="K6" i="23"/>
  <c r="K11" i="23"/>
  <c r="K23" i="25"/>
  <c r="K38" i="25"/>
  <c r="K30" i="26"/>
  <c r="K5" i="65"/>
  <c r="K13" i="67"/>
  <c r="K10" i="69"/>
  <c r="K21" i="69"/>
  <c r="K31" i="69"/>
  <c r="K39" i="69"/>
  <c r="K5" i="76"/>
  <c r="K22" i="29"/>
  <c r="K34" i="31"/>
  <c r="K14" i="31"/>
  <c r="K25" i="5"/>
  <c r="K51" i="25"/>
  <c r="K21" i="25"/>
  <c r="K34" i="66"/>
  <c r="K10" i="26"/>
  <c r="K23" i="26"/>
  <c r="K31" i="26"/>
  <c r="K6" i="30"/>
  <c r="K12" i="32"/>
  <c r="K21" i="32"/>
  <c r="K14" i="32"/>
  <c r="K15" i="66"/>
  <c r="K10" i="68"/>
  <c r="K4" i="26"/>
  <c r="K16" i="26"/>
  <c r="K24" i="26"/>
  <c r="K32" i="26"/>
  <c r="K40" i="26"/>
  <c r="K12" i="30"/>
  <c r="K18" i="30"/>
  <c r="K13" i="32"/>
  <c r="K22" i="32"/>
  <c r="K5" i="69"/>
  <c r="K23" i="69"/>
  <c r="K37" i="5"/>
  <c r="K17" i="24"/>
  <c r="K14" i="5"/>
  <c r="K6" i="26"/>
  <c r="K16" i="66"/>
  <c r="K33" i="29"/>
  <c r="K19" i="29"/>
  <c r="K10" i="27"/>
  <c r="K10" i="5"/>
  <c r="K25" i="26"/>
  <c r="K15" i="60"/>
  <c r="K47" i="69"/>
  <c r="K15" i="5"/>
  <c r="K24" i="5"/>
  <c r="K7" i="5"/>
  <c r="K10" i="22"/>
  <c r="K46" i="22"/>
  <c r="K4" i="23"/>
  <c r="K26" i="26"/>
  <c r="K4" i="76"/>
  <c r="K32" i="5"/>
  <c r="K31" i="22"/>
  <c r="K39" i="22"/>
  <c r="K10" i="23"/>
  <c r="K28" i="23"/>
  <c r="K8" i="32"/>
  <c r="K17" i="32"/>
  <c r="K8" i="69"/>
  <c r="K28" i="69"/>
  <c r="K36" i="69"/>
  <c r="K24" i="66"/>
  <c r="K8" i="26"/>
  <c r="K36" i="26"/>
  <c r="K4" i="30"/>
  <c r="K9" i="30"/>
  <c r="K9" i="32"/>
  <c r="K18" i="32"/>
  <c r="K48" i="69"/>
  <c r="K12" i="24"/>
  <c r="K39" i="25"/>
  <c r="K5" i="25"/>
  <c r="K5" i="27"/>
  <c r="K24" i="25"/>
  <c r="K20" i="66"/>
  <c r="K4" i="27"/>
  <c r="K12" i="22"/>
  <c r="K41" i="22"/>
  <c r="K23" i="23"/>
  <c r="K4" i="69"/>
  <c r="K15" i="69"/>
  <c r="K36" i="66"/>
  <c r="K19" i="25"/>
  <c r="K12" i="76"/>
  <c r="K23" i="31"/>
  <c r="K11" i="60"/>
  <c r="K34" i="5"/>
  <c r="K41" i="5"/>
  <c r="K30" i="23"/>
  <c r="K13" i="26"/>
  <c r="K16" i="32"/>
  <c r="K38" i="31"/>
  <c r="K10" i="74"/>
  <c r="K14" i="29"/>
  <c r="K11" i="66"/>
  <c r="K12" i="25"/>
  <c r="K56" i="69"/>
  <c r="K29" i="29"/>
  <c r="K8" i="60"/>
  <c r="K10" i="66"/>
  <c r="K6" i="68"/>
  <c r="K11" i="25"/>
  <c r="K7" i="60"/>
  <c r="K26" i="66"/>
  <c r="K9" i="66"/>
  <c r="K19" i="31"/>
  <c r="K30" i="31"/>
  <c r="K39" i="31"/>
  <c r="K6" i="31"/>
  <c r="K4" i="60"/>
  <c r="K42" i="25"/>
  <c r="K13" i="22"/>
  <c r="K54" i="25"/>
  <c r="K8" i="22"/>
  <c r="K19" i="27"/>
  <c r="K5" i="60"/>
  <c r="K11" i="67"/>
  <c r="K35" i="69"/>
  <c r="K10" i="76"/>
  <c r="K24" i="29"/>
  <c r="K37" i="31"/>
  <c r="K4" i="31"/>
  <c r="K37" i="66"/>
  <c r="K6" i="25"/>
  <c r="K16" i="31"/>
  <c r="K15" i="31"/>
  <c r="K14" i="26"/>
  <c r="K29" i="26"/>
  <c r="K37" i="26"/>
  <c r="K9" i="22"/>
  <c r="K29" i="22"/>
  <c r="K37" i="22"/>
  <c r="K14" i="23"/>
  <c r="K55" i="25"/>
  <c r="K26" i="25"/>
  <c r="C85" i="6"/>
  <c r="C108" i="6"/>
  <c r="K16" i="27"/>
  <c r="K15" i="27"/>
  <c r="K10" i="60"/>
  <c r="K26" i="32"/>
  <c r="K11" i="31"/>
  <c r="K11" i="68"/>
  <c r="K9" i="31"/>
  <c r="K48" i="25"/>
  <c r="K27" i="29"/>
  <c r="K10" i="28"/>
  <c r="K4" i="28"/>
  <c r="K17" i="28"/>
  <c r="K25" i="31"/>
  <c r="K35" i="32"/>
  <c r="K8" i="76"/>
  <c r="K47" i="32"/>
  <c r="K7" i="76"/>
  <c r="K33" i="22"/>
  <c r="K11" i="32"/>
  <c r="K20" i="32"/>
  <c r="K8" i="29"/>
  <c r="K7" i="74"/>
  <c r="K23" i="29"/>
  <c r="K23" i="24"/>
  <c r="K6" i="24"/>
  <c r="K6" i="66"/>
  <c r="K22" i="31"/>
  <c r="K5" i="5"/>
  <c r="K10" i="25"/>
  <c r="K21" i="28"/>
  <c r="K9" i="25"/>
  <c r="K27" i="32"/>
  <c r="K49" i="31"/>
  <c r="K20" i="28"/>
  <c r="K27" i="25"/>
  <c r="K28" i="22"/>
  <c r="K18" i="23"/>
  <c r="K28" i="26"/>
  <c r="K13" i="69"/>
  <c r="K34" i="32"/>
  <c r="K7" i="24"/>
  <c r="K14" i="27"/>
  <c r="K25" i="25"/>
  <c r="K7" i="25"/>
  <c r="K44" i="69"/>
  <c r="K32" i="32"/>
  <c r="K22" i="24"/>
  <c r="K13" i="28"/>
  <c r="K9" i="76"/>
  <c r="K16" i="29"/>
  <c r="K21" i="24"/>
  <c r="K4" i="24"/>
  <c r="K35" i="66"/>
  <c r="K12" i="28"/>
  <c r="K36" i="25"/>
  <c r="K9" i="69"/>
  <c r="K30" i="29"/>
  <c r="K20" i="24"/>
  <c r="K22" i="66"/>
  <c r="K11" i="27"/>
  <c r="K35" i="25"/>
  <c r="K13" i="74"/>
  <c r="K38" i="69"/>
  <c r="K5" i="66"/>
  <c r="K12" i="29"/>
  <c r="K44" i="31"/>
  <c r="K16" i="24"/>
  <c r="K18" i="66"/>
  <c r="K4" i="66"/>
  <c r="K4" i="68"/>
  <c r="K8" i="28"/>
  <c r="K46" i="25"/>
  <c r="K10" i="29"/>
  <c r="K15" i="24"/>
  <c r="K7" i="28"/>
  <c r="K45" i="25"/>
  <c r="K32" i="25"/>
  <c r="K28" i="66"/>
  <c r="K49" i="32"/>
  <c r="K37" i="32"/>
  <c r="K9" i="29"/>
  <c r="K14" i="24"/>
  <c r="K6" i="28"/>
  <c r="K31" i="25"/>
  <c r="K19" i="22"/>
  <c r="K25" i="22"/>
  <c r="K41" i="26"/>
  <c r="K10" i="32"/>
  <c r="K19" i="32"/>
  <c r="K40" i="69"/>
  <c r="K54" i="69"/>
  <c r="K36" i="32"/>
  <c r="K28" i="32"/>
  <c r="K25" i="29"/>
  <c r="K13" i="24"/>
  <c r="K6" i="27"/>
  <c r="K17" i="25"/>
  <c r="H24" i="2"/>
  <c r="C7" i="74"/>
  <c r="B7" i="74" s="1"/>
  <c r="F56" i="6"/>
  <c r="F33" i="6"/>
  <c r="H22" i="2"/>
  <c r="C8" i="25"/>
  <c r="F32" i="6"/>
  <c r="F55" i="6"/>
  <c r="K11" i="28"/>
  <c r="G3" i="2"/>
  <c r="K5" i="28"/>
  <c r="K9" i="28"/>
  <c r="K18" i="28"/>
  <c r="K16" i="28"/>
  <c r="K21" i="2"/>
  <c r="C9" i="28"/>
  <c r="C10" i="28" s="1"/>
  <c r="B10" i="28" s="1"/>
  <c r="G54" i="6"/>
  <c r="K20" i="2"/>
  <c r="H20" i="2"/>
  <c r="C8" i="69"/>
  <c r="C9" i="69" s="1"/>
  <c r="B9" i="69" s="1"/>
  <c r="K7" i="68"/>
  <c r="H19" i="2"/>
  <c r="K18" i="2"/>
  <c r="G52" i="6"/>
  <c r="F52" i="6"/>
  <c r="L18" i="2"/>
  <c r="I18" i="2"/>
  <c r="F28" i="6"/>
  <c r="I17" i="2"/>
  <c r="L17" i="2"/>
  <c r="K17" i="2"/>
  <c r="H17" i="2"/>
  <c r="C9" i="27"/>
  <c r="F26" i="6"/>
  <c r="L15" i="2"/>
  <c r="J15" i="2"/>
  <c r="K15" i="2"/>
  <c r="I15" i="2"/>
  <c r="C6" i="66"/>
  <c r="H47" i="6"/>
  <c r="I13" i="2"/>
  <c r="H11" i="2"/>
  <c r="B6" i="31"/>
  <c r="C8" i="31"/>
  <c r="B8" i="31" s="1"/>
  <c r="B16" i="29"/>
  <c r="B14" i="29"/>
  <c r="C17" i="29"/>
  <c r="K5" i="23"/>
  <c r="C8" i="23"/>
  <c r="H9" i="2"/>
  <c r="L9" i="2"/>
  <c r="G43" i="6"/>
  <c r="K9" i="2"/>
  <c r="I9" i="2"/>
  <c r="F43" i="6"/>
  <c r="H8" i="2"/>
  <c r="B7" i="32"/>
  <c r="K6" i="2"/>
  <c r="I40" i="6"/>
  <c r="F17" i="6"/>
  <c r="F40" i="6"/>
  <c r="C6" i="76"/>
  <c r="H6" i="2"/>
  <c r="B5" i="5"/>
  <c r="B6" i="5"/>
  <c r="D16" i="6"/>
  <c r="D62" i="6"/>
  <c r="D85" i="6"/>
  <c r="H5" i="2"/>
  <c r="C7" i="68" l="1"/>
  <c r="B6" i="67"/>
  <c r="C7" i="67"/>
  <c r="C8" i="67" s="1"/>
  <c r="B8" i="67" s="1"/>
  <c r="B7" i="65"/>
  <c r="C8" i="65"/>
  <c r="B8" i="65" s="1"/>
  <c r="C9" i="60"/>
  <c r="B9" i="60" s="1"/>
  <c r="C7" i="26"/>
  <c r="B6" i="26"/>
  <c r="C10" i="24"/>
  <c r="C12" i="24" s="1"/>
  <c r="J3" i="2"/>
  <c r="H38" i="6"/>
  <c r="H12" i="6" s="1"/>
  <c r="C10" i="22"/>
  <c r="B10" i="22" s="1"/>
  <c r="B9" i="22"/>
  <c r="B8" i="30"/>
  <c r="C9" i="30"/>
  <c r="C10" i="30" s="1"/>
  <c r="K3" i="2"/>
  <c r="E15" i="6"/>
  <c r="E9" i="6" s="1"/>
  <c r="F15" i="6"/>
  <c r="F9" i="6" s="1"/>
  <c r="E38" i="6"/>
  <c r="E12" i="6" s="1"/>
  <c r="D15" i="6"/>
  <c r="C11" i="32"/>
  <c r="B11" i="32" s="1"/>
  <c r="B8" i="5"/>
  <c r="C9" i="5"/>
  <c r="B9" i="5" s="1"/>
  <c r="B7" i="5"/>
  <c r="D84" i="6"/>
  <c r="D61" i="6"/>
  <c r="H3" i="2"/>
  <c r="L3" i="2"/>
  <c r="I38" i="6"/>
  <c r="I12" i="6" s="1"/>
  <c r="I3" i="2"/>
  <c r="G38" i="6"/>
  <c r="G12" i="6" s="1"/>
  <c r="F38" i="6"/>
  <c r="F12" i="6" s="1"/>
  <c r="K3" i="29"/>
  <c r="D44" i="6" s="1"/>
  <c r="K3" i="69"/>
  <c r="D54" i="6" s="1"/>
  <c r="K3" i="67"/>
  <c r="D52" i="6" s="1"/>
  <c r="K3" i="30"/>
  <c r="D48" i="6" s="1"/>
  <c r="K3" i="5"/>
  <c r="D39" i="6" s="1"/>
  <c r="K3" i="65"/>
  <c r="D50" i="6" s="1"/>
  <c r="K3" i="22"/>
  <c r="D42" i="6" s="1"/>
  <c r="K3" i="74"/>
  <c r="D57" i="6" s="1"/>
  <c r="K3" i="76"/>
  <c r="D40" i="6" s="1"/>
  <c r="K3" i="32"/>
  <c r="D41" i="6" s="1"/>
  <c r="K3" i="66"/>
  <c r="D49" i="6" s="1"/>
  <c r="K3" i="26"/>
  <c r="D58" i="6" s="1"/>
  <c r="K3" i="68"/>
  <c r="D53" i="6" s="1"/>
  <c r="K3" i="31"/>
  <c r="D45" i="6" s="1"/>
  <c r="K3" i="27"/>
  <c r="D51" i="6" s="1"/>
  <c r="K3" i="60"/>
  <c r="D47" i="6" s="1"/>
  <c r="K3" i="24"/>
  <c r="D46" i="6" s="1"/>
  <c r="K3" i="23"/>
  <c r="D43" i="6" s="1"/>
  <c r="K3" i="25"/>
  <c r="D56" i="6" s="1"/>
  <c r="K3" i="28"/>
  <c r="D55" i="6" s="1"/>
  <c r="C8" i="74"/>
  <c r="C9" i="74" s="1"/>
  <c r="B8" i="25"/>
  <c r="C9" i="25"/>
  <c r="C11" i="28"/>
  <c r="B9" i="28"/>
  <c r="C10" i="69"/>
  <c r="B10" i="69" s="1"/>
  <c r="B8" i="69"/>
  <c r="C10" i="27"/>
  <c r="B9" i="27"/>
  <c r="B6" i="66"/>
  <c r="C8" i="66"/>
  <c r="B8" i="66" s="1"/>
  <c r="C9" i="31"/>
  <c r="B9" i="31" s="1"/>
  <c r="B17" i="29"/>
  <c r="C19" i="29"/>
  <c r="C20" i="29" s="1"/>
  <c r="B20" i="29" s="1"/>
  <c r="B8" i="23"/>
  <c r="C9" i="23"/>
  <c r="C10" i="23" s="1"/>
  <c r="B10" i="23" s="1"/>
  <c r="D9" i="6"/>
  <c r="B6" i="76"/>
  <c r="C7" i="76"/>
  <c r="B7" i="76" s="1"/>
  <c r="C10" i="25" l="1"/>
  <c r="B10" i="25" s="1"/>
  <c r="B7" i="68"/>
  <c r="C8" i="68"/>
  <c r="B7" i="67"/>
  <c r="C9" i="67"/>
  <c r="C9" i="65"/>
  <c r="B9" i="65" s="1"/>
  <c r="C10" i="60"/>
  <c r="B10" i="60" s="1"/>
  <c r="B10" i="24"/>
  <c r="C13" i="24"/>
  <c r="B13" i="24" s="1"/>
  <c r="C12" i="32"/>
  <c r="B12" i="32" s="1"/>
  <c r="C13" i="32"/>
  <c r="B7" i="26"/>
  <c r="C8" i="26"/>
  <c r="C11" i="22"/>
  <c r="B11" i="22" s="1"/>
  <c r="B10" i="30"/>
  <c r="B9" i="30"/>
  <c r="C11" i="30"/>
  <c r="B11" i="30" s="1"/>
  <c r="C12" i="30"/>
  <c r="C10" i="31"/>
  <c r="B10" i="31" s="1"/>
  <c r="C10" i="5"/>
  <c r="D12" i="6"/>
  <c r="G6" i="6" s="1"/>
  <c r="D38" i="6"/>
  <c r="B9" i="74"/>
  <c r="C10" i="74"/>
  <c r="B10" i="74" s="1"/>
  <c r="B8" i="74"/>
  <c r="B9" i="25"/>
  <c r="B11" i="28"/>
  <c r="C12" i="28"/>
  <c r="C11" i="69"/>
  <c r="B11" i="69" s="1"/>
  <c r="B10" i="27"/>
  <c r="C11" i="27"/>
  <c r="C12" i="27" s="1"/>
  <c r="B12" i="27" s="1"/>
  <c r="C9" i="66"/>
  <c r="B9" i="66" s="1"/>
  <c r="B12" i="24"/>
  <c r="C21" i="29"/>
  <c r="B19" i="29"/>
  <c r="C11" i="23"/>
  <c r="B11" i="23" s="1"/>
  <c r="B9" i="23"/>
  <c r="C8" i="76"/>
  <c r="C12" i="74" l="1"/>
  <c r="B12" i="74" s="1"/>
  <c r="C11" i="25"/>
  <c r="B11" i="25" s="1"/>
  <c r="B8" i="68"/>
  <c r="C9" i="68"/>
  <c r="C10" i="68" s="1"/>
  <c r="B10" i="68" s="1"/>
  <c r="B9" i="67"/>
  <c r="C10" i="67"/>
  <c r="B10" i="67" s="1"/>
  <c r="C11" i="67"/>
  <c r="B11" i="67" s="1"/>
  <c r="B12" i="30"/>
  <c r="C11" i="60"/>
  <c r="C14" i="24"/>
  <c r="C15" i="24" s="1"/>
  <c r="B15" i="24" s="1"/>
  <c r="B21" i="29"/>
  <c r="C22" i="29"/>
  <c r="B22" i="29" s="1"/>
  <c r="C14" i="32"/>
  <c r="B13" i="32"/>
  <c r="B8" i="26"/>
  <c r="C9" i="26"/>
  <c r="B10" i="5"/>
  <c r="C12" i="22"/>
  <c r="B12" i="22" s="1"/>
  <c r="C13" i="30"/>
  <c r="C14" i="30"/>
  <c r="B14" i="30" s="1"/>
  <c r="C15" i="30"/>
  <c r="B15" i="30" s="1"/>
  <c r="C11" i="31"/>
  <c r="B11" i="31" s="1"/>
  <c r="C11" i="5"/>
  <c r="B12" i="28"/>
  <c r="C13" i="28"/>
  <c r="C12" i="69"/>
  <c r="B12" i="69" s="1"/>
  <c r="B11" i="27"/>
  <c r="C13" i="27"/>
  <c r="B13" i="27" s="1"/>
  <c r="C10" i="66"/>
  <c r="B10" i="66" s="1"/>
  <c r="C16" i="24"/>
  <c r="B16" i="24" s="1"/>
  <c r="C12" i="23"/>
  <c r="B12" i="23" s="1"/>
  <c r="B8" i="76"/>
  <c r="C9" i="76"/>
  <c r="C13" i="74" l="1"/>
  <c r="B13" i="74" s="1"/>
  <c r="C12" i="25"/>
  <c r="C14" i="25" s="1"/>
  <c r="B14" i="25" s="1"/>
  <c r="B9" i="68"/>
  <c r="C11" i="68"/>
  <c r="B11" i="68" s="1"/>
  <c r="C12" i="67"/>
  <c r="B12" i="67" s="1"/>
  <c r="B13" i="30"/>
  <c r="B11" i="60"/>
  <c r="C13" i="60"/>
  <c r="B14" i="24"/>
  <c r="C23" i="29"/>
  <c r="B14" i="32"/>
  <c r="C15" i="32"/>
  <c r="B9" i="26"/>
  <c r="C10" i="26"/>
  <c r="C13" i="22"/>
  <c r="B13" i="22" s="1"/>
  <c r="C14" i="22"/>
  <c r="B14" i="22" s="1"/>
  <c r="C16" i="30"/>
  <c r="C13" i="31"/>
  <c r="B13" i="31" s="1"/>
  <c r="C12" i="5"/>
  <c r="B11" i="5"/>
  <c r="B13" i="28"/>
  <c r="C14" i="28"/>
  <c r="C13" i="69"/>
  <c r="B13" i="69" s="1"/>
  <c r="C14" i="27"/>
  <c r="C11" i="66"/>
  <c r="B11" i="66" s="1"/>
  <c r="C17" i="24"/>
  <c r="C13" i="23"/>
  <c r="B9" i="76"/>
  <c r="C10" i="76"/>
  <c r="B10" i="76" s="1"/>
  <c r="B12" i="25" l="1"/>
  <c r="C15" i="25"/>
  <c r="B15" i="25" s="1"/>
  <c r="C12" i="68"/>
  <c r="B12" i="68" s="1"/>
  <c r="C13" i="67"/>
  <c r="B13" i="60"/>
  <c r="C14" i="60"/>
  <c r="B23" i="29"/>
  <c r="C24" i="29"/>
  <c r="B15" i="32"/>
  <c r="C16" i="32"/>
  <c r="B10" i="26"/>
  <c r="C11" i="26"/>
  <c r="B11" i="26" s="1"/>
  <c r="C16" i="22"/>
  <c r="B16" i="30"/>
  <c r="C18" i="30"/>
  <c r="C19" i="30" s="1"/>
  <c r="B19" i="30" s="1"/>
  <c r="C14" i="31"/>
  <c r="B14" i="31" s="1"/>
  <c r="C13" i="5"/>
  <c r="B13" i="5" s="1"/>
  <c r="B12" i="5"/>
  <c r="B14" i="28"/>
  <c r="C15" i="28"/>
  <c r="B15" i="28" s="1"/>
  <c r="C14" i="69"/>
  <c r="C15" i="69" s="1"/>
  <c r="B15" i="69" s="1"/>
  <c r="B14" i="27"/>
  <c r="C15" i="27"/>
  <c r="C12" i="66"/>
  <c r="B17" i="24"/>
  <c r="C18" i="24"/>
  <c r="B13" i="23"/>
  <c r="C14" i="23"/>
  <c r="C15" i="23" s="1"/>
  <c r="C11" i="76"/>
  <c r="B11" i="76" s="1"/>
  <c r="C16" i="25" l="1"/>
  <c r="B16" i="25" s="1"/>
  <c r="B13" i="67"/>
  <c r="C14" i="67"/>
  <c r="B14" i="67" s="1"/>
  <c r="B14" i="60"/>
  <c r="C15" i="60"/>
  <c r="C25" i="29"/>
  <c r="B24" i="29"/>
  <c r="C26" i="29"/>
  <c r="B26" i="29" s="1"/>
  <c r="B16" i="32"/>
  <c r="C17" i="32"/>
  <c r="C12" i="26"/>
  <c r="B12" i="26" s="1"/>
  <c r="C17" i="22"/>
  <c r="B16" i="22"/>
  <c r="B18" i="30"/>
  <c r="C20" i="30"/>
  <c r="C15" i="31"/>
  <c r="B15" i="31" s="1"/>
  <c r="C12" i="76"/>
  <c r="B12" i="76" s="1"/>
  <c r="C14" i="5"/>
  <c r="B14" i="5" s="1"/>
  <c r="C16" i="28"/>
  <c r="B16" i="28" s="1"/>
  <c r="B14" i="69"/>
  <c r="C16" i="69"/>
  <c r="B16" i="69" s="1"/>
  <c r="B15" i="27"/>
  <c r="C16" i="27"/>
  <c r="B16" i="27" s="1"/>
  <c r="B12" i="66"/>
  <c r="C13" i="66"/>
  <c r="C14" i="66" s="1"/>
  <c r="B14" i="66" s="1"/>
  <c r="B18" i="24"/>
  <c r="C19" i="24"/>
  <c r="B19" i="24" s="1"/>
  <c r="B15" i="23"/>
  <c r="C16" i="23"/>
  <c r="B16" i="23" s="1"/>
  <c r="B14" i="23"/>
  <c r="C17" i="25" l="1"/>
  <c r="B17" i="25" s="1"/>
  <c r="C15" i="67"/>
  <c r="B15" i="67" s="1"/>
  <c r="B15" i="60"/>
  <c r="C16" i="60"/>
  <c r="B16" i="60" s="1"/>
  <c r="B25" i="29"/>
  <c r="C27" i="29"/>
  <c r="C18" i="32"/>
  <c r="C19" i="32" s="1"/>
  <c r="B19" i="32" s="1"/>
  <c r="B17" i="32"/>
  <c r="C13" i="26"/>
  <c r="C14" i="26" s="1"/>
  <c r="B14" i="26" s="1"/>
  <c r="C18" i="22"/>
  <c r="B18" i="22" s="1"/>
  <c r="B17" i="22"/>
  <c r="B20" i="30"/>
  <c r="C21" i="30"/>
  <c r="C16" i="31"/>
  <c r="B16" i="31" s="1"/>
  <c r="C17" i="23"/>
  <c r="B17" i="23" s="1"/>
  <c r="C15" i="5"/>
  <c r="C17" i="28"/>
  <c r="C17" i="69"/>
  <c r="B17" i="69" s="1"/>
  <c r="C17" i="27"/>
  <c r="C15" i="66"/>
  <c r="C16" i="66" s="1"/>
  <c r="B16" i="66" s="1"/>
  <c r="B13" i="66"/>
  <c r="C20" i="24"/>
  <c r="B20" i="24" s="1"/>
  <c r="C18" i="25" l="1"/>
  <c r="B18" i="25" s="1"/>
  <c r="B21" i="30"/>
  <c r="C22" i="30"/>
  <c r="C21" i="24"/>
  <c r="B21" i="24" s="1"/>
  <c r="B27" i="29"/>
  <c r="C28" i="29"/>
  <c r="C20" i="32"/>
  <c r="C21" i="32" s="1"/>
  <c r="B21" i="32" s="1"/>
  <c r="B18" i="32"/>
  <c r="C15" i="26"/>
  <c r="C16" i="26" s="1"/>
  <c r="B13" i="26"/>
  <c r="C19" i="22"/>
  <c r="B19" i="22" s="1"/>
  <c r="C17" i="31"/>
  <c r="B17" i="31" s="1"/>
  <c r="C18" i="23"/>
  <c r="B18" i="23" s="1"/>
  <c r="C16" i="5"/>
  <c r="C17" i="5" s="1"/>
  <c r="B15" i="5"/>
  <c r="B17" i="28"/>
  <c r="C18" i="28"/>
  <c r="C18" i="69"/>
  <c r="B17" i="27"/>
  <c r="C18" i="27"/>
  <c r="B15" i="66"/>
  <c r="C17" i="66"/>
  <c r="B15" i="26" l="1"/>
  <c r="C17" i="26"/>
  <c r="B17" i="26" s="1"/>
  <c r="C19" i="25"/>
  <c r="B19" i="25" s="1"/>
  <c r="B22" i="30"/>
  <c r="C23" i="30"/>
  <c r="C22" i="24"/>
  <c r="B22" i="24" s="1"/>
  <c r="B28" i="29"/>
  <c r="C29" i="29"/>
  <c r="B29" i="29" s="1"/>
  <c r="C20" i="22"/>
  <c r="B20" i="22" s="1"/>
  <c r="B20" i="32"/>
  <c r="C22" i="32"/>
  <c r="C23" i="32" s="1"/>
  <c r="B16" i="26"/>
  <c r="C19" i="23"/>
  <c r="B19" i="23" s="1"/>
  <c r="C18" i="31"/>
  <c r="B18" i="31" s="1"/>
  <c r="B16" i="5"/>
  <c r="C18" i="5"/>
  <c r="B18" i="5" s="1"/>
  <c r="B17" i="5"/>
  <c r="B18" i="28"/>
  <c r="C20" i="28"/>
  <c r="B18" i="69"/>
  <c r="C19" i="69"/>
  <c r="B19" i="69" s="1"/>
  <c r="B18" i="27"/>
  <c r="C19" i="27"/>
  <c r="B17" i="66"/>
  <c r="C18" i="66"/>
  <c r="C18" i="26" l="1"/>
  <c r="C19" i="26" s="1"/>
  <c r="C20" i="25"/>
  <c r="B20" i="25" s="1"/>
  <c r="B23" i="30"/>
  <c r="C24" i="30"/>
  <c r="C23" i="24"/>
  <c r="B23" i="24" s="1"/>
  <c r="C30" i="29"/>
  <c r="B30" i="29" s="1"/>
  <c r="C20" i="23"/>
  <c r="B20" i="23" s="1"/>
  <c r="C21" i="22"/>
  <c r="B21" i="22" s="1"/>
  <c r="B23" i="32"/>
  <c r="B22" i="32"/>
  <c r="C24" i="32"/>
  <c r="B24" i="32" s="1"/>
  <c r="C19" i="31"/>
  <c r="C20" i="31" s="1"/>
  <c r="C19" i="5"/>
  <c r="B20" i="28"/>
  <c r="C21" i="28"/>
  <c r="C20" i="69"/>
  <c r="B19" i="27"/>
  <c r="C20" i="27"/>
  <c r="B18" i="66"/>
  <c r="C20" i="66"/>
  <c r="B18" i="26" l="1"/>
  <c r="C21" i="25"/>
  <c r="B21" i="25" s="1"/>
  <c r="B24" i="30"/>
  <c r="C25" i="30"/>
  <c r="C31" i="29"/>
  <c r="B31" i="29" s="1"/>
  <c r="C22" i="23"/>
  <c r="B22" i="23" s="1"/>
  <c r="C22" i="22"/>
  <c r="C23" i="22" s="1"/>
  <c r="B23" i="22" s="1"/>
  <c r="C26" i="32"/>
  <c r="B26" i="32" s="1"/>
  <c r="C21" i="26"/>
  <c r="B19" i="26"/>
  <c r="B19" i="31"/>
  <c r="B19" i="5"/>
  <c r="C20" i="5"/>
  <c r="C21" i="5" s="1"/>
  <c r="B21" i="5" s="1"/>
  <c r="B21" i="28"/>
  <c r="C22" i="28"/>
  <c r="B20" i="69"/>
  <c r="C21" i="69"/>
  <c r="B20" i="27"/>
  <c r="C21" i="27"/>
  <c r="B21" i="27" s="1"/>
  <c r="B20" i="66"/>
  <c r="C21" i="66"/>
  <c r="B20" i="31"/>
  <c r="C21" i="31"/>
  <c r="C22" i="25" l="1"/>
  <c r="C23" i="25" s="1"/>
  <c r="B23" i="25" s="1"/>
  <c r="B25" i="30"/>
  <c r="C26" i="30"/>
  <c r="C32" i="29"/>
  <c r="B32" i="29" s="1"/>
  <c r="C33" i="29"/>
  <c r="C34" i="29" s="1"/>
  <c r="C35" i="29" s="1"/>
  <c r="C23" i="23"/>
  <c r="B23" i="23" s="1"/>
  <c r="B22" i="22"/>
  <c r="C24" i="22"/>
  <c r="B24" i="22" s="1"/>
  <c r="C27" i="32"/>
  <c r="B27" i="32" s="1"/>
  <c r="B21" i="26"/>
  <c r="C22" i="26"/>
  <c r="B20" i="5"/>
  <c r="B22" i="28"/>
  <c r="C22" i="69"/>
  <c r="B21" i="69"/>
  <c r="C22" i="66"/>
  <c r="B21" i="66"/>
  <c r="B21" i="31"/>
  <c r="C22" i="31"/>
  <c r="C24" i="25" l="1"/>
  <c r="B24" i="25" s="1"/>
  <c r="B22" i="25"/>
  <c r="B26" i="30"/>
  <c r="C27" i="30"/>
  <c r="B27" i="30" s="1"/>
  <c r="B33" i="29"/>
  <c r="B35" i="29"/>
  <c r="C36" i="29"/>
  <c r="C24" i="23"/>
  <c r="B24" i="23" s="1"/>
  <c r="C25" i="22"/>
  <c r="C27" i="22" s="1"/>
  <c r="C28" i="32"/>
  <c r="B28" i="32" s="1"/>
  <c r="B22" i="26"/>
  <c r="C23" i="26"/>
  <c r="C24" i="5"/>
  <c r="B24" i="5" s="1"/>
  <c r="B22" i="69"/>
  <c r="C23" i="69"/>
  <c r="B22" i="66"/>
  <c r="C24" i="66"/>
  <c r="B24" i="66" s="1"/>
  <c r="B22" i="31"/>
  <c r="C23" i="31"/>
  <c r="B34" i="29"/>
  <c r="C25" i="25" l="1"/>
  <c r="B25" i="25" s="1"/>
  <c r="B36" i="29"/>
  <c r="C37" i="29"/>
  <c r="B37" i="29" s="1"/>
  <c r="C25" i="23"/>
  <c r="C26" i="23" s="1"/>
  <c r="B25" i="22"/>
  <c r="C29" i="32"/>
  <c r="C30" i="32" s="1"/>
  <c r="B30" i="32" s="1"/>
  <c r="C31" i="32"/>
  <c r="B23" i="26"/>
  <c r="C24" i="26"/>
  <c r="C25" i="5"/>
  <c r="C26" i="5" s="1"/>
  <c r="B26" i="5" s="1"/>
  <c r="C25" i="69"/>
  <c r="B23" i="69"/>
  <c r="C25" i="66"/>
  <c r="B25" i="66" s="1"/>
  <c r="B23" i="31"/>
  <c r="C24" i="31"/>
  <c r="B27" i="22"/>
  <c r="C28" i="22"/>
  <c r="C26" i="25" l="1"/>
  <c r="B26" i="25" s="1"/>
  <c r="C26" i="66"/>
  <c r="B26" i="66" s="1"/>
  <c r="C38" i="29"/>
  <c r="B38" i="29" s="1"/>
  <c r="B25" i="23"/>
  <c r="B29" i="32"/>
  <c r="B31" i="32"/>
  <c r="C32" i="32"/>
  <c r="B24" i="26"/>
  <c r="C25" i="26"/>
  <c r="C27" i="5"/>
  <c r="B27" i="5" s="1"/>
  <c r="B25" i="5"/>
  <c r="C26" i="69"/>
  <c r="B25" i="69"/>
  <c r="B24" i="31"/>
  <c r="C25" i="31"/>
  <c r="B26" i="23"/>
  <c r="C27" i="23"/>
  <c r="B28" i="22"/>
  <c r="C29" i="22"/>
  <c r="C27" i="25" l="1"/>
  <c r="B27" i="25" s="1"/>
  <c r="C27" i="66"/>
  <c r="B27" i="66" s="1"/>
  <c r="B32" i="32"/>
  <c r="C33" i="32"/>
  <c r="B33" i="32" s="1"/>
  <c r="B25" i="26"/>
  <c r="C26" i="26"/>
  <c r="C28" i="5"/>
  <c r="B28" i="5" s="1"/>
  <c r="B26" i="69"/>
  <c r="C28" i="69"/>
  <c r="B25" i="31"/>
  <c r="C26" i="31"/>
  <c r="B27" i="23"/>
  <c r="C28" i="23"/>
  <c r="B29" i="22"/>
  <c r="C30" i="22"/>
  <c r="C28" i="25" l="1"/>
  <c r="B28" i="25" s="1"/>
  <c r="C28" i="66"/>
  <c r="B28" i="66" s="1"/>
  <c r="C34" i="32"/>
  <c r="B34" i="32" s="1"/>
  <c r="B26" i="26"/>
  <c r="C27" i="26"/>
  <c r="C29" i="5"/>
  <c r="B29" i="5" s="1"/>
  <c r="B28" i="69"/>
  <c r="C29" i="69"/>
  <c r="B26" i="31"/>
  <c r="C27" i="31"/>
  <c r="B28" i="23"/>
  <c r="C29" i="23"/>
  <c r="B30" i="22"/>
  <c r="C31" i="22"/>
  <c r="C29" i="25" l="1"/>
  <c r="C30" i="25" s="1"/>
  <c r="B30" i="25" s="1"/>
  <c r="C31" i="25"/>
  <c r="C32" i="25" s="1"/>
  <c r="C29" i="66"/>
  <c r="C30" i="66" s="1"/>
  <c r="B30" i="66" s="1"/>
  <c r="C35" i="32"/>
  <c r="C36" i="32" s="1"/>
  <c r="B36" i="32" s="1"/>
  <c r="B27" i="26"/>
  <c r="C28" i="26"/>
  <c r="C30" i="5"/>
  <c r="B30" i="5" s="1"/>
  <c r="C30" i="69"/>
  <c r="B29" i="69"/>
  <c r="B27" i="31"/>
  <c r="B29" i="23"/>
  <c r="C30" i="23"/>
  <c r="B31" i="22"/>
  <c r="C32" i="22"/>
  <c r="B29" i="25" l="1"/>
  <c r="B31" i="25"/>
  <c r="B32" i="25"/>
  <c r="C33" i="25"/>
  <c r="B33" i="25" s="1"/>
  <c r="C31" i="66"/>
  <c r="C32" i="66" s="1"/>
  <c r="B29" i="66"/>
  <c r="B35" i="32"/>
  <c r="C37" i="32"/>
  <c r="B37" i="32" s="1"/>
  <c r="B28" i="26"/>
  <c r="C29" i="26"/>
  <c r="C31" i="5"/>
  <c r="B31" i="5" s="1"/>
  <c r="B30" i="69"/>
  <c r="C31" i="69"/>
  <c r="C29" i="31"/>
  <c r="B30" i="23"/>
  <c r="C31" i="23"/>
  <c r="B32" i="22"/>
  <c r="C33" i="22"/>
  <c r="C34" i="25" l="1"/>
  <c r="B34" i="25" s="1"/>
  <c r="B31" i="66"/>
  <c r="C38" i="32"/>
  <c r="C39" i="32" s="1"/>
  <c r="B29" i="26"/>
  <c r="C30" i="26"/>
  <c r="B38" i="32"/>
  <c r="C32" i="5"/>
  <c r="B32" i="5" s="1"/>
  <c r="C32" i="69"/>
  <c r="B31" i="69"/>
  <c r="B32" i="66"/>
  <c r="C33" i="66"/>
  <c r="B29" i="31"/>
  <c r="C30" i="31"/>
  <c r="B31" i="23"/>
  <c r="C32" i="23"/>
  <c r="B32" i="23" s="1"/>
  <c r="B33" i="22"/>
  <c r="C34" i="22"/>
  <c r="C35" i="25" l="1"/>
  <c r="B35" i="25" s="1"/>
  <c r="B30" i="26"/>
  <c r="C31" i="26"/>
  <c r="B39" i="32"/>
  <c r="C40" i="32"/>
  <c r="C33" i="5"/>
  <c r="B33" i="5" s="1"/>
  <c r="B32" i="69"/>
  <c r="C33" i="69"/>
  <c r="B33" i="66"/>
  <c r="C34" i="66"/>
  <c r="B30" i="31"/>
  <c r="C31" i="31"/>
  <c r="B34" i="22"/>
  <c r="C35" i="22"/>
  <c r="C36" i="25" l="1"/>
  <c r="B36" i="25" s="1"/>
  <c r="C34" i="5"/>
  <c r="B34" i="5" s="1"/>
  <c r="B31" i="26"/>
  <c r="C32" i="26"/>
  <c r="B40" i="32"/>
  <c r="C41" i="32"/>
  <c r="C34" i="69"/>
  <c r="B33" i="69"/>
  <c r="B34" i="66"/>
  <c r="C35" i="66"/>
  <c r="B31" i="31"/>
  <c r="C32" i="31"/>
  <c r="B35" i="22"/>
  <c r="C36" i="22"/>
  <c r="C37" i="25" l="1"/>
  <c r="B37" i="25" s="1"/>
  <c r="C35" i="5"/>
  <c r="B35" i="5" s="1"/>
  <c r="B32" i="26"/>
  <c r="C33" i="26"/>
  <c r="B41" i="32"/>
  <c r="C42" i="32"/>
  <c r="C35" i="69"/>
  <c r="B34" i="69"/>
  <c r="B35" i="66"/>
  <c r="C36" i="66"/>
  <c r="B32" i="31"/>
  <c r="C34" i="31"/>
  <c r="B36" i="22"/>
  <c r="C37" i="22"/>
  <c r="C38" i="25" l="1"/>
  <c r="C36" i="5"/>
  <c r="B36" i="5" s="1"/>
  <c r="B33" i="26"/>
  <c r="C34" i="26"/>
  <c r="B42" i="32"/>
  <c r="C44" i="32"/>
  <c r="C36" i="69"/>
  <c r="B35" i="69"/>
  <c r="B36" i="66"/>
  <c r="C37" i="66"/>
  <c r="B37" i="66" s="1"/>
  <c r="B34" i="31"/>
  <c r="C35" i="31"/>
  <c r="B37" i="22"/>
  <c r="C38" i="22"/>
  <c r="B38" i="25" l="1"/>
  <c r="C39" i="25"/>
  <c r="C37" i="5"/>
  <c r="B37" i="5" s="1"/>
  <c r="B34" i="26"/>
  <c r="C35" i="26"/>
  <c r="B44" i="32"/>
  <c r="C45" i="32"/>
  <c r="C37" i="69"/>
  <c r="B36" i="69"/>
  <c r="B35" i="31"/>
  <c r="C36" i="31"/>
  <c r="B38" i="22"/>
  <c r="C39" i="22"/>
  <c r="C40" i="25" l="1"/>
  <c r="C41" i="25" s="1"/>
  <c r="B41" i="25" s="1"/>
  <c r="B39" i="25"/>
  <c r="C38" i="5"/>
  <c r="B38" i="5" s="1"/>
  <c r="B35" i="26"/>
  <c r="C36" i="26"/>
  <c r="B45" i="32"/>
  <c r="C46" i="32"/>
  <c r="C38" i="69"/>
  <c r="B37" i="69"/>
  <c r="B36" i="31"/>
  <c r="C37" i="31"/>
  <c r="B39" i="22"/>
  <c r="C40" i="22"/>
  <c r="B40" i="25" l="1"/>
  <c r="C42" i="25"/>
  <c r="B42" i="25" s="1"/>
  <c r="C39" i="5"/>
  <c r="B39" i="5" s="1"/>
  <c r="B36" i="26"/>
  <c r="C37" i="26"/>
  <c r="B46" i="32"/>
  <c r="C47" i="32"/>
  <c r="C39" i="69"/>
  <c r="B38" i="69"/>
  <c r="B37" i="31"/>
  <c r="C38" i="31"/>
  <c r="B40" i="22"/>
  <c r="C41" i="22"/>
  <c r="C43" i="25" l="1"/>
  <c r="B43" i="25" s="1"/>
  <c r="C40" i="5"/>
  <c r="B40" i="5" s="1"/>
  <c r="B37" i="26"/>
  <c r="C38" i="26"/>
  <c r="B47" i="32"/>
  <c r="C48" i="32"/>
  <c r="C40" i="69"/>
  <c r="B39" i="69"/>
  <c r="B38" i="31"/>
  <c r="C39" i="31"/>
  <c r="B41" i="22"/>
  <c r="C42" i="22"/>
  <c r="C44" i="25" l="1"/>
  <c r="C45" i="25" s="1"/>
  <c r="B45" i="25" s="1"/>
  <c r="C41" i="5"/>
  <c r="B41" i="5" s="1"/>
  <c r="B38" i="26"/>
  <c r="C39" i="26"/>
  <c r="B48" i="32"/>
  <c r="C49" i="32"/>
  <c r="C41" i="69"/>
  <c r="B40" i="69"/>
  <c r="B39" i="31"/>
  <c r="C40" i="31"/>
  <c r="B42" i="22"/>
  <c r="C43" i="22"/>
  <c r="B44" i="25" l="1"/>
  <c r="C46" i="25"/>
  <c r="C47" i="25" s="1"/>
  <c r="C44" i="5"/>
  <c r="B44" i="5" s="1"/>
  <c r="B39" i="26"/>
  <c r="C40" i="26"/>
  <c r="B49" i="32"/>
  <c r="C50" i="32"/>
  <c r="C42" i="69"/>
  <c r="B41" i="69"/>
  <c r="B40" i="31"/>
  <c r="C41" i="31"/>
  <c r="B43" i="22"/>
  <c r="C44" i="22"/>
  <c r="B46" i="25" l="1"/>
  <c r="B43" i="5"/>
  <c r="C45" i="5"/>
  <c r="B45" i="5" s="1"/>
  <c r="B40" i="26"/>
  <c r="C41" i="26"/>
  <c r="B50" i="32"/>
  <c r="C51" i="32"/>
  <c r="B47" i="25"/>
  <c r="C48" i="25"/>
  <c r="B42" i="69"/>
  <c r="C43" i="69"/>
  <c r="B41" i="31"/>
  <c r="C42" i="31"/>
  <c r="B44" i="22"/>
  <c r="C45" i="22"/>
  <c r="B41" i="26" l="1"/>
  <c r="C42" i="26"/>
  <c r="B51" i="32"/>
  <c r="C52" i="32"/>
  <c r="B52" i="32" s="1"/>
  <c r="B48" i="25"/>
  <c r="C49" i="25"/>
  <c r="C44" i="69"/>
  <c r="B43" i="69"/>
  <c r="B42" i="31"/>
  <c r="C44" i="31"/>
  <c r="B45" i="22"/>
  <c r="C46" i="22"/>
  <c r="B42" i="26" l="1"/>
  <c r="C43" i="26"/>
  <c r="B43" i="26" s="1"/>
  <c r="B49" i="25"/>
  <c r="C50" i="25"/>
  <c r="C45" i="69"/>
  <c r="B44" i="69"/>
  <c r="B44" i="31"/>
  <c r="C45" i="31"/>
  <c r="B46" i="22"/>
  <c r="C47" i="22"/>
  <c r="B50" i="25" l="1"/>
  <c r="C51" i="25"/>
  <c r="B45" i="69"/>
  <c r="C47" i="69"/>
  <c r="B45" i="31"/>
  <c r="C46" i="31"/>
  <c r="B47" i="22"/>
  <c r="C48" i="22"/>
  <c r="B51" i="25" l="1"/>
  <c r="C52" i="25"/>
  <c r="B47" i="69"/>
  <c r="C48" i="69"/>
  <c r="B46" i="31"/>
  <c r="C47" i="31"/>
  <c r="B48" i="22"/>
  <c r="C49" i="22"/>
  <c r="B52" i="25" l="1"/>
  <c r="C53" i="25"/>
  <c r="C49" i="69"/>
  <c r="B48" i="69"/>
  <c r="B47" i="31"/>
  <c r="C48" i="31"/>
  <c r="B49" i="22"/>
  <c r="C50" i="22"/>
  <c r="B53" i="25" l="1"/>
  <c r="C54" i="25"/>
  <c r="C50" i="69"/>
  <c r="B49" i="69"/>
  <c r="B48" i="31"/>
  <c r="C49" i="31"/>
  <c r="B50" i="22"/>
  <c r="C51" i="22"/>
  <c r="B54" i="25" l="1"/>
  <c r="C55" i="25"/>
  <c r="B55" i="25" s="1"/>
  <c r="B50" i="69"/>
  <c r="C51" i="69"/>
  <c r="B49" i="31"/>
  <c r="C50" i="31"/>
  <c r="B51" i="22"/>
  <c r="C52" i="22"/>
  <c r="B51" i="69" l="1"/>
  <c r="C52" i="69"/>
  <c r="B50" i="31"/>
  <c r="C51" i="31"/>
  <c r="B51" i="31" s="1"/>
  <c r="B52" i="22"/>
  <c r="C53" i="22"/>
  <c r="B53" i="22" s="1"/>
  <c r="C53" i="69" l="1"/>
  <c r="B52" i="69"/>
  <c r="B53" i="69" l="1"/>
  <c r="C54" i="69"/>
  <c r="C55" i="69" l="1"/>
  <c r="B54" i="69"/>
  <c r="B55" i="69" l="1"/>
  <c r="C56" i="69"/>
  <c r="C57" i="69" l="1"/>
  <c r="B57" i="69" s="1"/>
  <c r="B56" i="69"/>
</calcChain>
</file>

<file path=xl/sharedStrings.xml><?xml version="1.0" encoding="utf-8"?>
<sst xmlns="http://schemas.openxmlformats.org/spreadsheetml/2006/main" count="2399" uniqueCount="725">
  <si>
    <t>Proposal Evaluation Summary</t>
  </si>
  <si>
    <t>Vendor Name:</t>
  </si>
  <si>
    <t>Date:</t>
  </si>
  <si>
    <t>Total Interfaces Specification Score</t>
  </si>
  <si>
    <t>System</t>
  </si>
  <si>
    <t>Category</t>
  </si>
  <si>
    <t>Maximum Score</t>
  </si>
  <si>
    <t>Number of Requirements</t>
  </si>
  <si>
    <t>Not Answered</t>
  </si>
  <si>
    <t>Crucial</t>
  </si>
  <si>
    <t>Important</t>
  </si>
  <si>
    <t>Minimal</t>
  </si>
  <si>
    <t>ALL</t>
  </si>
  <si>
    <t>ALL CATEGORIES</t>
  </si>
  <si>
    <t>Score</t>
  </si>
  <si>
    <t>Function Available</t>
  </si>
  <si>
    <t>Function Not Available</t>
  </si>
  <si>
    <t>Exception</t>
  </si>
  <si>
    <t>INTERFACES</t>
  </si>
  <si>
    <t>Number of Crucial</t>
  </si>
  <si>
    <t>Crucial - Not Answered</t>
  </si>
  <si>
    <t>Crucial - Function Available</t>
  </si>
  <si>
    <t>Crucial - Function Not Available</t>
  </si>
  <si>
    <t>Crucial - Exception</t>
  </si>
  <si>
    <t>Number of Important</t>
  </si>
  <si>
    <t>Important - Not Answered</t>
  </si>
  <si>
    <t>Important - Function Available</t>
  </si>
  <si>
    <t>Important - Function Not Available</t>
  </si>
  <si>
    <t>Important - Exception</t>
  </si>
  <si>
    <t>Number of Minimal</t>
  </si>
  <si>
    <t>Minimal - Not Answered</t>
  </si>
  <si>
    <t>Minimal - Function Available</t>
  </si>
  <si>
    <t>Minimal - Function Not Available</t>
  </si>
  <si>
    <t>Minimal - Exception</t>
  </si>
  <si>
    <t>Drop Down Definitions</t>
  </si>
  <si>
    <t>Worksheet</t>
  </si>
  <si>
    <t>Sheets</t>
  </si>
  <si>
    <t>Items</t>
  </si>
  <si>
    <t>Workbook Total Master Interfaces Specs</t>
  </si>
  <si>
    <t>Specification Type</t>
  </si>
  <si>
    <t>Weight</t>
  </si>
  <si>
    <t>N/A</t>
  </si>
  <si>
    <t>Availability</t>
  </si>
  <si>
    <t>Select From Drop Down</t>
  </si>
  <si>
    <t>Spec
ID</t>
  </si>
  <si>
    <t>Spec Number</t>
  </si>
  <si>
    <t>Importance</t>
  </si>
  <si>
    <t>Description of Capability
CAD Interface General Requirements</t>
  </si>
  <si>
    <t>Descriptions</t>
  </si>
  <si>
    <t>Summary</t>
  </si>
  <si>
    <t>Spec Weight</t>
  </si>
  <si>
    <t>Avail Weight</t>
  </si>
  <si>
    <t>Review Comments</t>
  </si>
  <si>
    <t>CAD Interface General Requirements</t>
  </si>
  <si>
    <t>Total</t>
  </si>
  <si>
    <t>Total Score -&gt;</t>
  </si>
  <si>
    <t>IGen</t>
  </si>
  <si>
    <t>Total Not Answered</t>
  </si>
  <si>
    <t>The system interfaces with a Law Enforcement Records Management System (LERMS).</t>
  </si>
  <si>
    <t>Total Available</t>
  </si>
  <si>
    <t>The system interfaces with Fire Records Management System (FRMS).</t>
  </si>
  <si>
    <t>Total Not Available</t>
  </si>
  <si>
    <t>The system interfaces with a Jail Management System (JMS).</t>
  </si>
  <si>
    <t>Total Exception</t>
  </si>
  <si>
    <t>The system interfaces with a Courts Records system.</t>
  </si>
  <si>
    <t>Total Crucial &amp; Not Answered</t>
  </si>
  <si>
    <t>The system interfaces to Master Clock hardware for time synchronization.</t>
  </si>
  <si>
    <t>Total Crucial &amp; Function Available</t>
  </si>
  <si>
    <t>The system interfaces to E9-1-1 telephone system and answering positions.</t>
  </si>
  <si>
    <t>Total Crucial &amp; Function Not Available</t>
  </si>
  <si>
    <t>Total Crucial &amp; Exception</t>
  </si>
  <si>
    <t>The system interfaces with an ePCR system.</t>
  </si>
  <si>
    <t>Total Important &amp; Not Answered</t>
  </si>
  <si>
    <t>The system interfaces and can send data to a regional law enforcement database.</t>
  </si>
  <si>
    <t>Total Important &amp; Function Available</t>
  </si>
  <si>
    <t>The system interfaces to 9-1-1 answering position Telecommunications Device for the Deaf  / TeleTypewriter (TDD / TTY).</t>
  </si>
  <si>
    <t>Total Important &amp; Function Not Available</t>
  </si>
  <si>
    <t>Total Important &amp; Exception</t>
  </si>
  <si>
    <t>Total Minimal &amp; Not Answered</t>
  </si>
  <si>
    <t>The system interfaces with an alpha-numeric paging system.</t>
  </si>
  <si>
    <t>Total Minimal &amp; Function Available</t>
  </si>
  <si>
    <t>The system interfaces with a text messaging system.</t>
  </si>
  <si>
    <t>Total Minimal &amp; Function Not Available</t>
  </si>
  <si>
    <t>Total Minimal &amp; Exception</t>
  </si>
  <si>
    <t>The system interfaces with Emergency Medical Dispatch (EMD) software (e.g. ProQA, APCO, PowerPhone).</t>
  </si>
  <si>
    <t>The system provides remote access to authorized users via VPN.</t>
  </si>
  <si>
    <t>The system interfaces with the EPA's Computer Aided Management of Emergency Operations (CAMEO) software suite.</t>
  </si>
  <si>
    <t>The system interfaces to a radio console to receive radio system status messaging and translate those messages to CAD status changes (e.g. Motorola, Harris).</t>
  </si>
  <si>
    <t>The system interfaces with an electronic facsimile (FAX) software.</t>
  </si>
  <si>
    <t>The system supports two-way communications between several different CAD systems, i.e., between Vendor A to Vendor B.</t>
  </si>
  <si>
    <t>The system supports two-way communications between several of the vendor's own CAD systems, i.e., between Vendor A and Vendor A.</t>
  </si>
  <si>
    <t xml:space="preserve">The system provides a two way interface with third party staffing and scheduling application (e.g. TeleStaff™, Orion, Executine, VCS FIRES) . </t>
  </si>
  <si>
    <t>The system supports an interface to a third party forms creation application.</t>
  </si>
  <si>
    <t xml:space="preserve">The system supports an interface to an electronic ticketing application.  (e.g. eCitation, APC) </t>
  </si>
  <si>
    <t>The system supports an interface to a third party crime analysis application.</t>
  </si>
  <si>
    <t>The system supports an interface to a third party situational awareness application (e.g. First Watch).</t>
  </si>
  <si>
    <t>The system supports an interface to a third party on scene incident command scene software application (e.g. FieldSoft, AIMSOnScene).</t>
  </si>
  <si>
    <t xml:space="preserve">The system supports an interface with third-party LiveScan hardware and software. </t>
  </si>
  <si>
    <t>The system is capable of a two way interface to an Alarm Company (e.g. ADT, Guardian) via Automated Secure Alarm Protocol (ASAP).</t>
  </si>
  <si>
    <t>The system is capable of interfacing to an alarm receiver (e.g. Silent Knight, Keltron)</t>
  </si>
  <si>
    <t>An open source API is provided to facilitate the development of communication with any 3rd party applications and the CAD.</t>
  </si>
  <si>
    <t>Description of Capability
CAD Interface Alarm Monitoring</t>
  </si>
  <si>
    <t>CAD Interface Alarm Monitoring</t>
  </si>
  <si>
    <t>IAlm</t>
  </si>
  <si>
    <t>The system supports External Alarm Interface Exchange (EAIE) transaction with pre-approved Alarm Monitoring Companies.</t>
  </si>
  <si>
    <t>Location data received through the EAIE transaction will be subject to location validation process.</t>
  </si>
  <si>
    <t>Successful receipt and validation of the alarm transaction data will generate a CAD call for service.</t>
  </si>
  <si>
    <t>The system is capable of bi-directional communications between the PSAP and the Alarm Company.</t>
  </si>
  <si>
    <t>The system is capable of triggering updates to the event from CAD to the alarm company.</t>
  </si>
  <si>
    <t>The system is capable of processing updates to the transaction from the sending alarm company to the PSAP. (e.g. keyholder notified)</t>
  </si>
  <si>
    <t>Rules governing the triggering of events are established by an agency authorized user.</t>
  </si>
  <si>
    <t>Acceptance of the EAIE transaction and updates from the alarm company is at the discretion of the user.</t>
  </si>
  <si>
    <t>Description of Capability
CAD Interface Alerting</t>
  </si>
  <si>
    <t>CAD Interface Alerting</t>
  </si>
  <si>
    <t>ITone</t>
  </si>
  <si>
    <t>The tone alert interface can be sent automatically based on the following:</t>
  </si>
  <si>
    <t>event type</t>
  </si>
  <si>
    <t>units dispatched</t>
  </si>
  <si>
    <t>station due</t>
  </si>
  <si>
    <t>any combination of the above conditions.</t>
  </si>
  <si>
    <t>The tone alerting interface requires some type of user interaction prior to sending tones so the dispatcher can make the determination to send the tones or not.</t>
  </si>
  <si>
    <t>The Tone Alerting interface allows the tone encoding of a unit from the command line, e.g., "ENCODE ENG1".</t>
  </si>
  <si>
    <t>The Tone Alerting interface recognizes recommended multiple units with identical tones (such as multiple units from a single station) and only sends a single set of tones for those units.</t>
  </si>
  <si>
    <t>The tone alerting interface provides the capability for tone signaling to initiate and monitor the paging progress for call notification of responding personnel.</t>
  </si>
  <si>
    <t>The system provides a method to allow the training module to simulate the function of the tone alerting interface, providing feedback but not actually performing activations.</t>
  </si>
  <si>
    <t>The tone alerting interface capable of operation in live, test and training modes simultaneously.</t>
  </si>
  <si>
    <t>The tone encoding interface does not require a dedicated radio console(s).</t>
  </si>
  <si>
    <t xml:space="preserve">The interface will only send a unique value once for each dispatch (e.g. if 5 units from the same Station are sent on a structure fire then the interface will only send the tones or set of tones once for the station; it will not send 5 of the same tones). </t>
  </si>
  <si>
    <t xml:space="preserve">The interface solution allows the encoding of tones over different resources simultaneously by two distinct dispatchers (e.g. Fire over fire channel, Rescue over rescue channel). </t>
  </si>
  <si>
    <t>The radio tone alerting interface can be configured to send tones over multiple resources (fire dispatch, EMS dispatch, etc.)</t>
  </si>
  <si>
    <t>The system allows tones to be stacked under the unit or station configuration within the CAD application (e.g. siren, pager, etc.).</t>
  </si>
  <si>
    <t>The system interfaces in a manner that allows station or unit tones stacked within the radio console to be used (e.g. button numbers).</t>
  </si>
  <si>
    <t>The tone alerting interface solution allows tones to be sent from any dispatch workstation working the fire discipline and/or controlling fire units.</t>
  </si>
  <si>
    <t>The system provides a means to re-tone units or stations.</t>
  </si>
  <si>
    <t>The system allows dispatchers to add units to an event without sending encoder tones.</t>
  </si>
  <si>
    <t>CAD Interface Station Alerting</t>
  </si>
  <si>
    <t>The primary connectivity to the fire stations is Ethernet.</t>
  </si>
  <si>
    <t xml:space="preserve">In the event of a lost CAD connection to the alerting solution there is a method to manually dispatch the stations with no delay.  </t>
  </si>
  <si>
    <t>The system allows the radio interface controller (RIC) as a back-up or secondary connection option to the fire station.</t>
  </si>
  <si>
    <t>System must integrate with automated dispatching technology that utilizes automated voice to dispatch CAD call/event data.</t>
  </si>
  <si>
    <t>Support "text to voice" feature.</t>
  </si>
  <si>
    <t>The proposed solution shall be capable of providing manual non-emergency messages to a station or group of stations from the CAD system.</t>
  </si>
  <si>
    <t>The proposed station alerting solution shall have the capability, for any event, to create audible dispatch alerts that announce simultaneously in multiple stations.</t>
  </si>
  <si>
    <t xml:space="preserve">The station alerting solution shall include a dispatch acknowledgment device via CAD . </t>
  </si>
  <si>
    <t xml:space="preserve">The station alerting solution shall be able to alert mobile data computers without holding off dispatch radio resources. </t>
  </si>
  <si>
    <t>Audible alerts at stations shall start not more than two seconds after the alerting system receives a request from the CAD system.</t>
  </si>
  <si>
    <t>The system should support the fire station alerting automated voice announcements.</t>
  </si>
  <si>
    <t>A visual indication shall be provided to dispatchers to indicate whether the system is ready, or not ready, for automated voice dispatch.</t>
  </si>
  <si>
    <t xml:space="preserve">The CAD system provides sufficient data to the station alerting system to provide pre-announcement information that includes audible alerts, resource assignment, event type and  box number.    </t>
  </si>
  <si>
    <t xml:space="preserve">The announcement is generated based on user defined triggers in the CAD system. </t>
  </si>
  <si>
    <t>The user defined triggers to send information to the fire station alerting, include but are not limited to:</t>
  </si>
  <si>
    <t>All dispatch positions assigned duties with the Fire and Rescue discipline must have access to all station alerting features, to monitor station conditions and to dispatch units.</t>
  </si>
  <si>
    <t>The fire station alerting interface allows the alerting of a station from the command line, e.g., "ALERT ENG1".</t>
  </si>
  <si>
    <t>Description of Capability
CAD Interface Alphanumeric / Text Paging</t>
  </si>
  <si>
    <t>CAD Interface Alphanumeric / Text Paging</t>
  </si>
  <si>
    <t>IAlphaP</t>
  </si>
  <si>
    <t>The system supports alphanumeric / text paging based on the following:</t>
  </si>
  <si>
    <t>event status</t>
  </si>
  <si>
    <t>priority</t>
  </si>
  <si>
    <t>stations</t>
  </si>
  <si>
    <t>units</t>
  </si>
  <si>
    <t>agency</t>
  </si>
  <si>
    <t>task force</t>
  </si>
  <si>
    <t>groups</t>
  </si>
  <si>
    <t xml:space="preserve">The data contained in the alphanumeric / text page includes: </t>
  </si>
  <si>
    <t>CAD event number</t>
  </si>
  <si>
    <t>incident type</t>
  </si>
  <si>
    <t>location</t>
  </si>
  <si>
    <t>common place name, if exists</t>
  </si>
  <si>
    <t>community / municipality</t>
  </si>
  <si>
    <t>neighborhood / towns</t>
  </si>
  <si>
    <t>narrative</t>
  </si>
  <si>
    <t>The format of the alphanumeric / text page is user configurable.</t>
  </si>
  <si>
    <t>The alphanumeric / text paging system supports paging to groups.</t>
  </si>
  <si>
    <t>The system supports sending updates based on event status including, but not limited to:</t>
  </si>
  <si>
    <t>dispatch</t>
  </si>
  <si>
    <t>on-scene</t>
  </si>
  <si>
    <t>location changes</t>
  </si>
  <si>
    <t>event updates (e.g. working fires, smoke showing)</t>
  </si>
  <si>
    <t>recall (cancellation)</t>
  </si>
  <si>
    <t>The system supports alphanumeric / text paging from the command line.</t>
  </si>
  <si>
    <t>The system supports alphanumeric / text paging by employee ID.</t>
  </si>
  <si>
    <t>The system supports alphanumeric / text paging by unit ID.</t>
  </si>
  <si>
    <t>The system supports alphanumeric / text paging using pre-programmed text.</t>
  </si>
  <si>
    <t>The system supports alphanumeric / text paging using free text.</t>
  </si>
  <si>
    <t>The system supports alphanumeric / text paging to all units of an event.</t>
  </si>
  <si>
    <t>The system supports alphanumeric / text paging to emergency contacts.</t>
  </si>
  <si>
    <t>The system supports alphanumeric / text paging to records in the dialer files.</t>
  </si>
  <si>
    <t>The system supports creating alphanumeric / text page groups based on call type, by municipality.</t>
  </si>
  <si>
    <t>The system logs all paging activity with the associated event.</t>
  </si>
  <si>
    <t>The system supports the delivery of the alphanumeric / text page to a fax device.</t>
  </si>
  <si>
    <t>The system supports the delivery of the alphanumeric / text page in the form of an e-mail message.</t>
  </si>
  <si>
    <t>The system supports the delivery of the alphanumeric / text page in the form of a text message to a cell phone enabled for text messaging.</t>
  </si>
  <si>
    <t>The system supports the delivery of the alphanumeric / text page in the form of a message to a Blackberry or other PDA-type device.</t>
  </si>
  <si>
    <t>The system supports the TAP protocol.</t>
  </si>
  <si>
    <t>The system supports SMS protocol.</t>
  </si>
  <si>
    <t>The system supports SMTP protocol.</t>
  </si>
  <si>
    <t>The system allows for a CAD-initiated page to require an acknowledgement.</t>
  </si>
  <si>
    <t>The interface provides the ability to define multiple vendors that provide paging services (e.g., USA Mobility, Verizon, AT&amp;T, etc.)</t>
  </si>
  <si>
    <t>The system allows a minimum of 160 characters for text paging.</t>
  </si>
  <si>
    <t>Description of Capability
CAD Interfaces AVL</t>
  </si>
  <si>
    <t>CAD Interface AVL</t>
  </si>
  <si>
    <t>IAVL</t>
  </si>
  <si>
    <t>The system provides an Automatic Vehicle Location (AVL) system that is tightly integrated with the mobile data system.</t>
  </si>
  <si>
    <t>The AVL functionality is fully integrated in the CAD system.</t>
  </si>
  <si>
    <t>The system will display the unit location provided through AVL on the appropriate workstation map.</t>
  </si>
  <si>
    <t>The system allows an authorized user to determine the AVL location update frequency in CAD.</t>
  </si>
  <si>
    <t>The system allows an authorized user to determine the AVL location update frequency for Mobile.</t>
  </si>
  <si>
    <t>The system allows the system to have separate location update frequencies for CAD and Mobile.</t>
  </si>
  <si>
    <t>The system provides a historic playback function by unit/mobile device.</t>
  </si>
  <si>
    <t>The system provides a historic playback function by event.</t>
  </si>
  <si>
    <t>The system provides a historic playback based on start and end date and time range.</t>
  </si>
  <si>
    <t xml:space="preserve">The system provides an AVL Analytic module capable of AVL related reporting functions (e.g. daily logs, response time analysis, time of day response analysis, etc.) </t>
  </si>
  <si>
    <t>The system can use the AVL location data to determine response recommendations.</t>
  </si>
  <si>
    <t>The system can use the AVL location data to determine routing recommendations.</t>
  </si>
  <si>
    <t>The system will indicate on the unit status display if a unit is actively reporting AVL location data.</t>
  </si>
  <si>
    <t>The AVL can be turned off by an authorized user.</t>
  </si>
  <si>
    <t>The AVL system does not impact CAD and mobile real time operations.</t>
  </si>
  <si>
    <t>The presentation of AVL data can be viewed in CAD.</t>
  </si>
  <si>
    <t>The presentation of AVL data can be viewed in Mobile Data Devices</t>
  </si>
  <si>
    <t>The presentation of AVL data can be filtered by:</t>
  </si>
  <si>
    <t>on CAD</t>
  </si>
  <si>
    <t>on Mobile Data Devices</t>
  </si>
  <si>
    <t>AVL data integrates and provides location data necessary for routing related to turn by turn direction capabilities.</t>
  </si>
  <si>
    <t>Ability to translate latitude/longitude data provided by AVL and converting it to the closest available street address when entering a self-initiated event from a mobile device.</t>
  </si>
  <si>
    <t xml:space="preserve">Ability to translate latitude/longitude data provided by AVL and converting it to the closest available intersection when entering a self-initiated event from a mobile device. </t>
  </si>
  <si>
    <t>Description of Capability
CAD Interface CAD2CAD</t>
  </si>
  <si>
    <t>CAD Interface CAD2CAD</t>
  </si>
  <si>
    <t>IC2C</t>
  </si>
  <si>
    <t>The system is capable of interfacing with multiple CAD systems for the purpose of CAD-to-CAD functionality (e.g. surrounding Counties).</t>
  </si>
  <si>
    <t>CAD2CAD Interface Other Agency</t>
  </si>
  <si>
    <t>The system will provide the ability for CAD events to:</t>
  </si>
  <si>
    <t>The system will provide the ability to:</t>
  </si>
  <si>
    <t>The system will provide the ability for each to see each others units and current status for situational awareness.</t>
  </si>
  <si>
    <t>The system will provide the ability to share and view BOLOs.</t>
  </si>
  <si>
    <t>The system will provide messaging between:</t>
  </si>
  <si>
    <t>Unit to Unit</t>
  </si>
  <si>
    <t>CAD to CAD</t>
  </si>
  <si>
    <t>CAD to Unit</t>
  </si>
  <si>
    <t>Unit to CAD</t>
  </si>
  <si>
    <t>The system provides the ability to share premise hazard notes.</t>
  </si>
  <si>
    <t>The system provides the ability for the PSAP to capture ANI/ALI data in an event and send that event to other CAD systems.</t>
  </si>
  <si>
    <t xml:space="preserve">The system provides the ability to create events for each other and send those events to pending call queues.  </t>
  </si>
  <si>
    <t>The system has the ability to send requests for service to each participating CAD agency.</t>
  </si>
  <si>
    <t>The system has the ability to monitor availability of each others units and special equipment.</t>
  </si>
  <si>
    <t>The system has the ability to log interagency communications in CAD audit files.</t>
  </si>
  <si>
    <t>The system has the ability to take into account the unit status of each others units when recommending appropriate units for dispatch.</t>
  </si>
  <si>
    <t>The system has the ability to take into account unit location of each others units when recommending appropriate units for dispatch.</t>
  </si>
  <si>
    <t>The system has the ability to define agency-specific business rules for the handling of CAD-to-CAD messages.</t>
  </si>
  <si>
    <t xml:space="preserve">The system has the ability to integrate AVL data of units from hospitals (e.g. ambulances) onto the CAD map. </t>
  </si>
  <si>
    <t>Description of Capability
CAD Interfaces Dispatch Protocol Software</t>
  </si>
  <si>
    <t>CAD Dispatch Protocol Software</t>
  </si>
  <si>
    <t>IEMD</t>
  </si>
  <si>
    <t>The system provides a two-way (bi-directional) CAD - dispatch protocol interface.</t>
  </si>
  <si>
    <t>The ability for the system to transfer initial event information to the dispatch protocol application.</t>
  </si>
  <si>
    <t>The vendor provides its own dispatch protocol/interrogation application that can be used from within CAD.</t>
  </si>
  <si>
    <t>The system provides the ability to launch the dispatch protocol application:</t>
  </si>
  <si>
    <t>The system provides the ability for the CAD operator to seamlessly toggle back and forth between the dispatch protocol application and CAD.</t>
  </si>
  <si>
    <t>The system interfaces to the following dispatch protocol providers:</t>
  </si>
  <si>
    <r>
      <t>APCO Multi-purpose Emergency Dispatch System (9-1-1 Adviser</t>
    </r>
    <r>
      <rPr>
        <vertAlign val="superscript"/>
        <sz val="11"/>
        <rFont val="Arial"/>
        <family val="2"/>
      </rPr>
      <t>TM</t>
    </r>
    <r>
      <rPr>
        <sz val="11"/>
        <rFont val="Arial"/>
        <family val="2"/>
      </rPr>
      <t>).</t>
    </r>
  </si>
  <si>
    <t>Powerphone Computer Aided Call Handling (CACH®) software.</t>
  </si>
  <si>
    <t>The event nature type enables the system the ability to display scripted pre-arrival instructions.</t>
  </si>
  <si>
    <t>Pre-arrival instructions use color-coded panel logic to emphasize key actions and decision pathways.</t>
  </si>
  <si>
    <t>The system incorporates call prioritization with the ability to recommend appropriate unit response based on incident/call type.</t>
  </si>
  <si>
    <t>Dispatch protocol questions and responses must be included in the CAD incident/call records.</t>
  </si>
  <si>
    <t>The system includes an automated dispatch protocol related Quality Assurance Case Review software program capable of providing case histories for each dispatch protocol event/call.</t>
  </si>
  <si>
    <t>The dispatch protocol Quality Assurance program provides for individual TCO case statistics.</t>
  </si>
  <si>
    <t>The dispatch protocol Quality Assurance program provides reports that reflect any period of time or data field requested such as current week, month, or year-to-date statistics.</t>
  </si>
  <si>
    <t>The dispatch protocol system utilizes guide cards or card sets ("flip-file protocol system") that are included as a manual back up to automated CAD / dispatch protocol system.</t>
  </si>
  <si>
    <t>24 hour/7 day technical support service is provided for dispatch protocol-related software issues.</t>
  </si>
  <si>
    <t>The system allows unit dispatch before, during, or after dispatch protocol instructions have been administered.</t>
  </si>
  <si>
    <t>The patient condition codes allow the ability to determine what resources to recommend to event/call.</t>
  </si>
  <si>
    <t>The patient condition codes enable scripted pre-arrival instructions.</t>
  </si>
  <si>
    <t>The dispatch protocol system meets or exceeds all national criteria set by ASTM, US Department of Transportation, and National Association of EMS Physician dispatch protocol.</t>
  </si>
  <si>
    <t>The dispatch protocol system meets or exceeds State EMD protocols and requirements ((210 ILCS 50/3.70) Sec. 3.70. Emergency Medical Dispatcher).</t>
  </si>
  <si>
    <t>The third party dispatch protocol software (e.g. Powerphone, APCO, ProQA) interfaces with the TDD / TTY to allow questions to be transmitted to the caller.</t>
  </si>
  <si>
    <t>Description of Capability
CAD Interfaces E-9-1-1</t>
  </si>
  <si>
    <t>CAD Interface E9-1-1</t>
  </si>
  <si>
    <t>IE911</t>
  </si>
  <si>
    <t>The system is capable of accepting emergency call and location data originating from SIP with location conveyance.</t>
  </si>
  <si>
    <t>The system accepts ANI and ALI data from the Customer's 9-1-1 telephone system.</t>
  </si>
  <si>
    <t>The call data based on basic 9-1-1 data is transferred appropriately to CAD call entry form.</t>
  </si>
  <si>
    <t>The call data based on enhanced 9-1-1 data is transferred appropriately to CAD call entry form.</t>
  </si>
  <si>
    <t>Call data containing Wireless Phase 1 data is transferred to the CAD call entry form.</t>
  </si>
  <si>
    <t>Call data containing Wireless Phase 2 data is transferred to the CAD call entry form.</t>
  </si>
  <si>
    <t>The system accepts X / Y coordinates, e.g., latitude / longitude, for conversion to the closest:</t>
  </si>
  <si>
    <t>When validating a location the system will initially attempt a match to the address point layer and then if not located will attempt to validate on the street centerline data.</t>
  </si>
  <si>
    <t>The system is FCC Wireless Phase 2 compliant.</t>
  </si>
  <si>
    <t>Location rebid through the answering equipment can be initiated from CAD by a user.</t>
  </si>
  <si>
    <t>For each occurrence of a rebid the mapping interface should have the capability to keep a record of all location changes within the CAD event.</t>
  </si>
  <si>
    <t>The system displays the caller location on the CAD Mapping system.</t>
  </si>
  <si>
    <t>The system provides the user with a prompt on whether they want to use the resultant rebid location data to update the event location.</t>
  </si>
  <si>
    <t xml:space="preserve">The resultant rebid location data will update the associated event location. </t>
  </si>
  <si>
    <t>The resultant rebid location data will update the CAD Mapping system.</t>
  </si>
  <si>
    <t>Description of Capability
CAD Interface Emergency Notification System</t>
  </si>
  <si>
    <t>CAD Interface Emergency Notification System</t>
  </si>
  <si>
    <t>IENS</t>
  </si>
  <si>
    <t>The system provides the ability to create a message in the CAD and distribute that message to phone numbers based on a set of addresses selected.</t>
  </si>
  <si>
    <t>Ability to select a set of addresses via:</t>
  </si>
  <si>
    <t>The system provides the ability to create a message in the CAD and distribute that message to phone numbers based on an area selected on the map.</t>
  </si>
  <si>
    <t>Ability to select an area from the map:</t>
  </si>
  <si>
    <t>Click and select a user defined geographical area by clicking and dragging on the map.</t>
  </si>
  <si>
    <t>Selection of any user defined mapping polygon (e.g. response area, municipality, beat, station, runcard, etc).</t>
  </si>
  <si>
    <t>Selection of multiple user defined mapping polygons (e.g. response areas, municipalities, beats, stations, runcards, etc).</t>
  </si>
  <si>
    <t>The system provides a list in CAD of the areas selected and the locations, address and phone numbers that will be included in the message.</t>
  </si>
  <si>
    <t>ePCR</t>
  </si>
  <si>
    <t>The triggers set to initiate data transfer are defined by the agency.</t>
  </si>
  <si>
    <t>responding</t>
  </si>
  <si>
    <t>on scene</t>
  </si>
  <si>
    <t>closed event</t>
  </si>
  <si>
    <t xml:space="preserve"> The system supports automatic transfer of standard CAD fields.</t>
  </si>
  <si>
    <t>The system is able to interface with external database(s) to share data with other records systems and/or CAD systems, regardless of the platform / language / database structure of the other agency system (e.g., Global Justice XML format, NEIM).</t>
  </si>
  <si>
    <t>clear scene - enroute to quarters</t>
  </si>
  <si>
    <t>in quarters</t>
  </si>
  <si>
    <t>The data transfer can occur while the incident is in progress to facilitate entry of fire incident (NFIRS) prior to closing the incident.</t>
  </si>
  <si>
    <t>Description of Capability
CAD Interface Hazardous Materials</t>
  </si>
  <si>
    <t>CAD Interface Hazardous Materials</t>
  </si>
  <si>
    <t>IHaz</t>
  </si>
  <si>
    <t>The system provides an interface to an internal hazardous materials database.</t>
  </si>
  <si>
    <t>The system provides an interface to  USDOT Emergency Response Guide (most current edition).</t>
  </si>
  <si>
    <t>The system provides an interface to NOAA CAMEO hazardous materials database.</t>
  </si>
  <si>
    <t xml:space="preserve">The system provides a hazardous materials database that can be accessed from: </t>
  </si>
  <si>
    <t>CAD</t>
  </si>
  <si>
    <t>Fire RMS</t>
  </si>
  <si>
    <t>Fire Inspections</t>
  </si>
  <si>
    <t>NFIRS</t>
  </si>
  <si>
    <t>Premises records</t>
  </si>
  <si>
    <t>LERMS</t>
  </si>
  <si>
    <t>Mobile Data</t>
  </si>
  <si>
    <t>Field Reporting</t>
  </si>
  <si>
    <t xml:space="preserve">The system provides the ability to configure an automatic lookup of the chemical in the hazardous material database upon entry of a chemical in the FRMS. </t>
  </si>
  <si>
    <t>The system provides the ability to download and attach searched chemical information to a premise record.</t>
  </si>
  <si>
    <t>The system provides the ability to download and attach searched chemical information to an event.</t>
  </si>
  <si>
    <t>The hazardous materials database may be searched by:</t>
  </si>
  <si>
    <t xml:space="preserve">Hazardous material information can include: </t>
  </si>
  <si>
    <t>OSHA exposure regulations</t>
  </si>
  <si>
    <t>OSHA Chemical Sampling Information</t>
  </si>
  <si>
    <t>MSDS information</t>
  </si>
  <si>
    <t>EPA Toxic Substance Control Act Chemical Substances Inventory</t>
  </si>
  <si>
    <t xml:space="preserve">SOPs </t>
  </si>
  <si>
    <t>The hazardous materials database provides the current data available from the USDOT Emergency Response Guide (ERG2008 or most current edition).</t>
  </si>
  <si>
    <t>The hazardous materials database can be maintained by authorized users.</t>
  </si>
  <si>
    <t>The hazardous materials database can be updated from outside source (e.g. latest update provided by CAMEO on disk).</t>
  </si>
  <si>
    <t>The hazardous materials database can be updated from outside source (e.g. latest electronic copy of the DOT Response Guide).</t>
  </si>
  <si>
    <t xml:space="preserve">Allow recording of types and locations of hazardous materials stored at addresses within the jurisdiction. </t>
  </si>
  <si>
    <t>Description of Capability
CAD Interface Logging Recorder</t>
  </si>
  <si>
    <t>CAD Interface Logging Recorder</t>
  </si>
  <si>
    <t>ILogR</t>
  </si>
  <si>
    <t>The system provides screenshots of the CAD workstation to the Logging Recorder via the interface.</t>
  </si>
  <si>
    <t>The system is capable of providing CAD incident record data to the Logging Recorder via the interface.</t>
  </si>
  <si>
    <t>The system is capable of providing a hyperlink from the CAD incident record to the associated Logging Recorder record.</t>
  </si>
  <si>
    <t>The system is capable of providing a hyperlink from the Logging Recorder record to the associated CAD event record.</t>
  </si>
  <si>
    <t>The system is capable of attaching the Logging Recorder .WAV file, or files, to the associated incident record.</t>
  </si>
  <si>
    <t>Description of Capability
CAD Interface NextGen 911</t>
  </si>
  <si>
    <t>CAD Interface NextGen 911</t>
  </si>
  <si>
    <t>Ngen</t>
  </si>
  <si>
    <t>The system will receive IP based 9-1-1 imbedded location data.</t>
  </si>
  <si>
    <t>The system will receive IP based 9-1-1 referenced location data.</t>
  </si>
  <si>
    <t>The system will receive IP based 9-1-1 location data both imbedded and referenced.</t>
  </si>
  <si>
    <t>The system will attach all data received as a component of a 9-1-1 request for service to the CAD incident record.</t>
  </si>
  <si>
    <t>The system will attach streaming video data received as a component of a 9-1-1 request for service to the CAD incident record.</t>
  </si>
  <si>
    <t>The system will attach fixed video data received as a component of a 9-1-1 request for service to the CAD incident record.</t>
  </si>
  <si>
    <t>The system will attach both fixed video data and streaming video data received as a component of a 9-1-1 request for service to the CAD incident record.</t>
  </si>
  <si>
    <t>The system will attach audio data received as a component of a 9-1-1 request for service to the CAD incident record.</t>
  </si>
  <si>
    <t>The system will attach telemetric data (e.g., On Star) received as a component of a 9-1-1 request for service to the CAD incident record.</t>
  </si>
  <si>
    <t>The system will utilize 9-1-1 call data included in the PIDF-LO.</t>
  </si>
  <si>
    <t>The system will transfer CAD incident record attachments received as a component of a 9-1-1 request for service to a Mobile Data Device.</t>
  </si>
  <si>
    <t>The system is capable of integrating with a CAD-to-CAD interface.</t>
  </si>
  <si>
    <t>The system is capable of parsing XML data provided as a component of the 9-1-1 request for service.</t>
  </si>
  <si>
    <t>The system is capable of incorporating parsed XML data provided as a component of the 9-1-1 request for service into the CAD event record.</t>
  </si>
  <si>
    <t>The system will perform 2 way XML data exchange via CAD-to-CAD interface when required for transfer to another PSAP or system.</t>
  </si>
  <si>
    <t>The system is capable of using links to additional information to retrieve information from other systems.</t>
  </si>
  <si>
    <t>Security measures are established for all input data streams.</t>
  </si>
  <si>
    <t>The positioning of the map can be determined by the civic addresses provided via PIDF-LO (NG9-1-1).</t>
  </si>
  <si>
    <t>Description of Capability
CAD Interface PSAP Master Clock</t>
  </si>
  <si>
    <t>CAD Interface PSAP Master Clock</t>
  </si>
  <si>
    <t>IMC</t>
  </si>
  <si>
    <t>The system is capable of establishing a time synchronization interface connection to a Network Time Synchronization application (NIST) accessible via the client network.</t>
  </si>
  <si>
    <t>The system is able to establish the time synchronization interface using an RS-232 serial ASCII communications connection.</t>
  </si>
  <si>
    <t>The system is able to establish the time synchronization interface using an IRIG communications connection.</t>
  </si>
  <si>
    <t>The system is able to establish the time synchronization interface using an Ethernet 10/100 Base-T network connection.</t>
  </si>
  <si>
    <t>The system accepts time codes that utilize Network Time Protocol (NTP).</t>
  </si>
  <si>
    <t>The system accepts time codes that utilize Simple Network Time Protocol (SNTP).</t>
  </si>
  <si>
    <t>The system is capable of accepting broadcast time codes from the NIST Server application.</t>
  </si>
  <si>
    <t>The system is capable of requesting time codes from the PSAP Master Clock via the interface connection.</t>
  </si>
  <si>
    <t>The system automatically adjusts the time settings for all proposed system servers using the time codes from the PSAP Master Clock.</t>
  </si>
  <si>
    <t>The system automatically adjusts the time settings for all CAD workstations using the time codes from the NIST application.</t>
  </si>
  <si>
    <t>The system maintains a continuous time accuracy of +/- 0.25 seconds relative to the NIST.</t>
  </si>
  <si>
    <t>The PSAP Time Synchronization interface conforms to the specifications described in NENA 04-002 v4 or later version of the standards document.</t>
  </si>
  <si>
    <t>Description of Capability
CAD Interface Pictometry</t>
  </si>
  <si>
    <t>CAD Interface Pictometry</t>
  </si>
  <si>
    <t>IPict</t>
  </si>
  <si>
    <t>The CAD mapping system integrates seamlessly with current version of Pictometry.</t>
  </si>
  <si>
    <t>The mobile data mapping system integrates seamlessly with current version of Pictometry.</t>
  </si>
  <si>
    <t>The mobile data devices integrates seamlessly  with current version of Pictometry.</t>
  </si>
  <si>
    <t>The mobile data devices interface utilizes web based version of Pictometry to reduce bandwidth.</t>
  </si>
  <si>
    <t>The system allows the Pictometry images to be viewed as a map layer along with other GIS layers.</t>
  </si>
  <si>
    <t>The system provides Pictometry with coordinate information to display the appropriate locations.</t>
  </si>
  <si>
    <t>When the Pictometry interface is provided, the system is sized with sufficient data storage and processor capabilities</t>
  </si>
  <si>
    <t>The system provides the ability to automatically launch the Pictometry application upon the creation of a CAD event.</t>
  </si>
  <si>
    <t xml:space="preserve">The system provides the ability to pan Pictometry the same as the CAD map display. </t>
  </si>
  <si>
    <t>Description of Capability
CAD Interface Radio System</t>
  </si>
  <si>
    <t>CAD Interface Radio System</t>
  </si>
  <si>
    <t>IRadio</t>
  </si>
  <si>
    <t xml:space="preserve">The Radio Console interface is able to provide push-to-talk radio banner messages of unit radio call signs when the field unit transmits. </t>
  </si>
  <si>
    <t>The push-to-talk radio banner will include, but not limited to:</t>
  </si>
  <si>
    <t>On the CAD status monitor the unit transmitting over the radio will provide a visual indicator (e.g. unit color change, flashing, reverse highlight)</t>
  </si>
  <si>
    <t>On activation of the radio system emergency button function, the Radio Console interface provides the unit's call sign and AVL location, if available, to the CAD system for display at all dispatch workstations and associated mapping display.</t>
  </si>
  <si>
    <t>Radio encoder tones can be affiliated with a station.</t>
  </si>
  <si>
    <t>Multiple radio encoder tones can be affiliated with a station.</t>
  </si>
  <si>
    <t>Radio encoder tones can be affiliated with a unit.</t>
  </si>
  <si>
    <t>Multiple radio encoder tones can be affiliated with a unit.</t>
  </si>
  <si>
    <t>The system provides the ability to automatically assign a person to a radio ID when that person signs onto a CAD unit affiliated with that radio ID.</t>
  </si>
  <si>
    <t>The system provides the ability to manually assign staff alias radio IDs when assigned to CAD units.</t>
  </si>
  <si>
    <t>CAD Interface - Outdoor Location Tracking</t>
  </si>
  <si>
    <t>The system is capable of sending all data fields as outlined in the interface documentation provided in the RFP appendix for GenSPout.</t>
  </si>
  <si>
    <t>The data filtered to the CAD system will include, but is not limited to:</t>
  </si>
  <si>
    <t>GPS latitude</t>
  </si>
  <si>
    <t>GPS longitude</t>
  </si>
  <si>
    <t>GPS time stamp</t>
  </si>
  <si>
    <t>Radio IDs are alphanumeric and a minimum of 8 characters.</t>
  </si>
  <si>
    <t>Alias radio IDs are alphanumeric and a minimum of 8 characters.</t>
  </si>
  <si>
    <t>A lack of a heartbeat in a specified amount of time a CAD message will be sent indicating the interface is down.</t>
  </si>
  <si>
    <t>The control commands will include, but is not limited to:</t>
  </si>
  <si>
    <t>The system is capable of maintaining a table of radio IDs and associated radio alias IDs.</t>
  </si>
  <si>
    <t>The system is capable of associating radio IDs, radio alias IDs and CAD IDs.</t>
  </si>
  <si>
    <t>The mapping system is capable of applying 'tracking' map layer for display of the location information.</t>
  </si>
  <si>
    <t>Description of Capability
CAD Interface LE Records Management System</t>
  </si>
  <si>
    <t>CAD Interface LERMS</t>
  </si>
  <si>
    <t>IRMS</t>
  </si>
  <si>
    <t>The system provides the ability to pass incident data from the agency's CAD to the agency's LERMS at specified intervals during the active incident.</t>
  </si>
  <si>
    <t xml:space="preserve">The system provides the ability to pass incident data from agency's CAD to other regional Law Enforcement Records Management Systems (LERMS). </t>
  </si>
  <si>
    <t xml:space="preserve">The system provides the ability to pass incident data from agency's CAD to local Law Enforcement Records Management Systems (LERMS). </t>
  </si>
  <si>
    <t>The data transfer to the LERMS system will occur on unit dispatch.</t>
  </si>
  <si>
    <t>The data transfer to the LERMS system can initiate a RMS record.</t>
  </si>
  <si>
    <t>The data transfer to the LERMS system can add to an existing RMS record.</t>
  </si>
  <si>
    <t>The data transfer to the LERMS system will occur on unit status change.</t>
  </si>
  <si>
    <t>The triggers set to update an LERMS are defined by the agency.</t>
  </si>
  <si>
    <t>The system provides the ability to perform a query on the agency's LERMS from the CAD and return the results of the query to the originating workstation.</t>
  </si>
  <si>
    <t>The system provides the ability to attach the results of an LERMS query to a CAD incident.</t>
  </si>
  <si>
    <t>The system provides the ability to perform a query on the agency's LERMS from the mobile device and return the results of the query to the originating device.</t>
  </si>
  <si>
    <t>The system provides the ability to perform a query on the agency's LERMS from the CAD operation workstation and return the results of the query to the originating workstation.</t>
  </si>
  <si>
    <t>Inquiries can be performed on the RMS database based on the following:</t>
  </si>
  <si>
    <t>FAX</t>
  </si>
  <si>
    <t>Description of Capability
CAD Interface LE State / NCIC Interface</t>
  </si>
  <si>
    <t>CAD Interface LE State / NCIC</t>
  </si>
  <si>
    <t>INCIC</t>
  </si>
  <si>
    <t xml:space="preserve">The interface supports interface communication between CAD and the National Crime Information Center (NCIC). </t>
  </si>
  <si>
    <t xml:space="preserve">The system supports interface communication between CAD and the National Law Enforcement Telecommunications System (NLETS). </t>
  </si>
  <si>
    <t>The system is able to direct a query to State, NCIC and local databases using a single query.</t>
  </si>
  <si>
    <t>The system adheres to the level of security required by CJIS for the submission of inquiries.</t>
  </si>
  <si>
    <t>The system adheres to the level of security required by the State for the submission of inquiries.</t>
  </si>
  <si>
    <t xml:space="preserve">The system can authorize individual clients access to the State/NCIC application. </t>
  </si>
  <si>
    <t xml:space="preserve">The system can authorize individual workstations access to the State/NCIC application. </t>
  </si>
  <si>
    <t>The system can restrict the communication capabilities to external databases to inquiry only.</t>
  </si>
  <si>
    <t xml:space="preserve">The system allows information contained in a response to auto-populate a new online query for additional information to submit to NCIC. </t>
  </si>
  <si>
    <t>The interface provides or supports an online interface from the CAD application to the State / NCIC database.</t>
  </si>
  <si>
    <t>The system has the ability to automatically attach the results of a State / NCIC inquiry to the CAD incident.</t>
  </si>
  <si>
    <t>The Mobile Data system has the ability to restrict returned data from Local / State / NCIC from being attached to the incident/call database.</t>
  </si>
  <si>
    <t>The system is able to automatically transmit license plate information entered into the CAD system as an inquiry transaction to the State / NCIC system based on CFS type.</t>
  </si>
  <si>
    <t>The system is able to automatically transmit drivers license information entered into the CAD system as an inquiry transaction to the State / NCIC system based on CFS type.</t>
  </si>
  <si>
    <t>All automatic transmissions that are attached to a CFS must be logged on the call and accessible.</t>
  </si>
  <si>
    <t>All responses that can be matched to the original transmission and are attached to a CFS will be logged on the call in the same area as the transmissions.</t>
  </si>
  <si>
    <t xml:space="preserve">The system is able to specify security access permissions for any request format. </t>
  </si>
  <si>
    <t xml:space="preserve">The system logs all transactions in a history file for viewing and reporting purposes, for authorized user(s). </t>
  </si>
  <si>
    <t xml:space="preserve">An authorized user can search for State / NCIC responses by date / time range. </t>
  </si>
  <si>
    <t xml:space="preserve">An authorized user can search for State / NCIC responses by User ID. </t>
  </si>
  <si>
    <t xml:space="preserve">An authorized user can search for State / NCIC responses by transaction type. </t>
  </si>
  <si>
    <t>An authorized user can search for State / NCIC responses by any inquired data element.</t>
  </si>
  <si>
    <t xml:space="preserve">The system can print messages received via a State / NCIC request/response. </t>
  </si>
  <si>
    <t xml:space="preserve">The system can disallow the automatic printing of State / NCIC data with the CAD system record. </t>
  </si>
  <si>
    <t>The system has the ability to be configured so that State / NCIC data can only be viewed by an authorized user.</t>
  </si>
  <si>
    <t>The system can be configured to never include State / NCIC data on sent reports.</t>
  </si>
  <si>
    <t>The system can be configured to never include State / NCIC data on printed reports.</t>
  </si>
  <si>
    <t>The system can be configured that on events shared between disciplines the State / NCIC data is not available for viewing by the Fire or EMS disciplines.</t>
  </si>
  <si>
    <t xml:space="preserve">The system allows State / NCIC messages to be sent to specified units. </t>
  </si>
  <si>
    <t>The system can be configured to allow State / NCIC messages to be included in the data sent to the law enforcement RMS.</t>
  </si>
  <si>
    <t>The system allows for the editing of the data string that is sent to the local, state, or NCIC system in order to meet State transaction requirements.</t>
  </si>
  <si>
    <t>The system allows only an authorized user to access State / NCIC forms within CAD.</t>
  </si>
  <si>
    <t>The system allows only an authorized user to access State / NCIC history within CAD.</t>
  </si>
  <si>
    <t>The system allows only an authorized user to access State / NCIC forms within LERMS.</t>
  </si>
  <si>
    <t>The system allows only an authorized user to access State / NCIC history within LERMS.</t>
  </si>
  <si>
    <t>The system allows only an authorized user to access State / NCIC forms within JMS.</t>
  </si>
  <si>
    <t>The system allows only an authorized user to access State / NCIC history within JMS.</t>
  </si>
  <si>
    <t>Description of Capability
CAD Interface TDD / TTY</t>
  </si>
  <si>
    <t>CAD Interface TDD / TDY</t>
  </si>
  <si>
    <t>ITDD</t>
  </si>
  <si>
    <t>The system attaches the TDD / TTY dialog from the Customer's E9-1-1 answering positions to the CAD event.</t>
  </si>
  <si>
    <t>The CAD keyboard / mouse is used for communication with the TDD / TTY interface.</t>
  </si>
  <si>
    <t xml:space="preserve">The TDD / TTY interface window opens automatically when an incoming call is detected.  </t>
  </si>
  <si>
    <t xml:space="preserve">The TDD / TTY interface window displays the caller and the Emergency Call Taker's conversation separately as it takes place (real-time). </t>
  </si>
  <si>
    <t xml:space="preserve">The TDD / TTY interface window displays the caller and the Emergency Call Taker's conversation as different colors of text. </t>
  </si>
  <si>
    <t>The TDD / TTY interface window contains all the user pre-programmable messages grouped into related categories.</t>
  </si>
  <si>
    <t>The TDD / TTY interfaces to the third party dispatch protocol software (e.g. Powerphone, APCO, ProQA)</t>
  </si>
  <si>
    <t>The TDD / TTY interface to the third party dispatch protocol software allows:</t>
  </si>
  <si>
    <t>The call taker to transmit the appropriate protocol questions to the caller for answering.</t>
  </si>
  <si>
    <t>The call taker can transmit the appropriate pre-arrival instructions to the caller.</t>
  </si>
  <si>
    <t>Description of Capability
CAD Interface Web CAD</t>
  </si>
  <si>
    <t>CAD Interface Web CAD</t>
  </si>
  <si>
    <t>IWeb</t>
  </si>
  <si>
    <t>The WebCAD Interface is capable of utilizing Advanced Encryption Standard (AES) without degradation of system throughput.</t>
  </si>
  <si>
    <t>The WebCAD interface supports end-to-end 192 bit encryption, at a minimum.</t>
  </si>
  <si>
    <t>The WebCAD interface supports the use of CJIS Advanced Authentication security measures for user and device log on verification.</t>
  </si>
  <si>
    <t>An authorized user determines user restrictions for access to CAD system related databases.</t>
  </si>
  <si>
    <t>An authorized user determines terminal restrictions for access to CAD system related databases.</t>
  </si>
  <si>
    <t>The WebCAD interface utilized browser based technology to access CAD related databases via the Internet.</t>
  </si>
  <si>
    <t>Remote terminals accessing CAD related data via WebCAD use COTS software.  Proprietary client software is not required at the remote terminal.</t>
  </si>
  <si>
    <t>Access to CAD related data can be restricted to inquiry only.</t>
  </si>
  <si>
    <t>Data accessed via WebCAD can be restricted to the discipline level e.g., EMS, Fire, Law Enforcement</t>
  </si>
  <si>
    <t>Data accessed via WebCAD can be restricted to the agency / municipal level, i.e., Police of agency A cannot view or access the data for Police of agency B.</t>
  </si>
  <si>
    <t>The WebCAD interface supports the viewing of closed events.</t>
  </si>
  <si>
    <t>The system provides the ability to access WebCAD via mobile devices such as smartphones, PDAs, tablets, etc.</t>
  </si>
  <si>
    <t>The system provides the same level of user-associated security in WebCAD as with local client logons.</t>
  </si>
  <si>
    <t>The WebCAD interface allows an authorized user to:</t>
  </si>
  <si>
    <t>View active events, including:</t>
  </si>
  <si>
    <t>nature of call</t>
  </si>
  <si>
    <t>unit status</t>
  </si>
  <si>
    <t>unit(s) dispatched</t>
  </si>
  <si>
    <t>associated notes</t>
  </si>
  <si>
    <t>Based on "authorized user" language, above features can be restricted from any/all users.</t>
  </si>
  <si>
    <t>Remote terminals accessing CAD related data via WebCAD are required to use VPN technology.</t>
  </si>
  <si>
    <t>The CAD system is capable of storing 'canned' messages that can be sent to the station alerting system.</t>
  </si>
  <si>
    <t>The system supports HTTP protocol.</t>
  </si>
  <si>
    <t>The system supports HTTPS protocol.</t>
  </si>
  <si>
    <t>The system uploads pertinent CAD incident data to Fire RMS.</t>
  </si>
  <si>
    <t>The system uploads pertinent CAD incident data to ESO ePCR.</t>
  </si>
  <si>
    <t>The system is capable of accepting a transfer of pre-plan data from FRMS.</t>
  </si>
  <si>
    <t>The system is capable of accepting a transfer of hydrant data from FRMS.</t>
  </si>
  <si>
    <t>Triggers to update an FRMS incident record include, but are not limited to:</t>
  </si>
  <si>
    <t>IFRMS</t>
  </si>
  <si>
    <t>Description of Capability
CAD Interface FRMS Software</t>
  </si>
  <si>
    <t>The system interfaces to a radio console to provide tone paging (e.g. Harris Symphony, Motorola MCC7500, Zetron).</t>
  </si>
  <si>
    <t>The system interfaces to a radio console to provide transmitter steering (e.g. Harris Symphony, Motorola MCC7500, Zetron).</t>
  </si>
  <si>
    <t>The system supports an interface to a third party Alarm Tracking and Billing module (e.g. FirstDue).</t>
  </si>
  <si>
    <t>The system allows the ability for the Customer to interface with multiple fire station alerting solutions (e.g. WestNet, First In, Locution, Zetron, etc.) for mutual aid within or outside the County.</t>
  </si>
  <si>
    <t>The system allows concurrent alerting of stations to multiple events simultaneously by more than one dispatch position.</t>
  </si>
  <si>
    <t>In concurrent alerting of stations to multiple events simultaneously by more than one dispatch position, no information from one dispatcher interferes with information being sent from another.</t>
  </si>
  <si>
    <t>The WebCAD interface supports time stamp being added to narrative of any event.</t>
  </si>
  <si>
    <t>The WebCAD interface supports user name/profile information being added to narrative of any event.</t>
  </si>
  <si>
    <t>unit times</t>
  </si>
  <si>
    <t>The system interfaces to a radio console to provide transmitter steering (e.g. Harris Symphony, Motorola MCC7500).</t>
  </si>
  <si>
    <t>The system interfaces to a radio console to provide tone paging (e.g. Harris Symphony, Motorola MCC7500).</t>
  </si>
  <si>
    <t xml:space="preserve">The system is capable of a mapping interface with the Customer's Genesis GenWatch3 server allowing the formatting and filtering engine Harris to send radio unit data from the Harris radio system to the CAD system.  </t>
  </si>
  <si>
    <t>The system can interface with the Tyler CAD System.</t>
  </si>
  <si>
    <t>The system can interface with the Hexagon CAD System.</t>
  </si>
  <si>
    <t>The system can interface with the Motorola's Premier CAD System.</t>
  </si>
  <si>
    <t>The system provides for the ability for the Dispatch Protocol Application (Medical, Fire, and Police) application to load and allow data entry within two seconds or less.</t>
  </si>
  <si>
    <t>The system supports interface communication to State Law Enforcement.</t>
  </si>
  <si>
    <t>If the dispatch protocol software is being provided by the vendors CAD solution then it must provide scripted case entry for gathering vital information, to include, but not limited to:</t>
  </si>
  <si>
    <t>If the dispatch protocol software is being provided by the vendors CAD solution then it must provide scripted case entry for gathering vital medical information, to include, but not limited to:</t>
  </si>
  <si>
    <t>If the dispatch protocol software is being provided by the vendors CAD solution then it must provide patient condition codes for categorizing patients according to:</t>
  </si>
  <si>
    <t xml:space="preserve">dispatcher views recommended units </t>
  </si>
  <si>
    <t>units dispatched in CAD</t>
  </si>
  <si>
    <t>dispatch button</t>
  </si>
  <si>
    <t>manual command</t>
  </si>
  <si>
    <t>unit</t>
  </si>
  <si>
    <t>event</t>
  </si>
  <si>
    <t>discipline</t>
  </si>
  <si>
    <t>response area</t>
  </si>
  <si>
    <t>station</t>
  </si>
  <si>
    <t>create events</t>
  </si>
  <si>
    <t>share events</t>
  </si>
  <si>
    <t>transfer events</t>
  </si>
  <si>
    <t>create narrative</t>
  </si>
  <si>
    <t>share narrative</t>
  </si>
  <si>
    <t>transfer narrative</t>
  </si>
  <si>
    <t>add to narrative</t>
  </si>
  <si>
    <t>manually</t>
  </si>
  <si>
    <t>upon entry of a valid event type</t>
  </si>
  <si>
    <t>address</t>
  </si>
  <si>
    <t>phone number</t>
  </si>
  <si>
    <t>provide scripted key questions for each separate event type</t>
  </si>
  <si>
    <t>chief complaint</t>
  </si>
  <si>
    <t>age</t>
  </si>
  <si>
    <t>sex</t>
  </si>
  <si>
    <t>race</t>
  </si>
  <si>
    <t>conscious or unconscious</t>
  </si>
  <si>
    <t>breathing or not breathing</t>
  </si>
  <si>
    <t>number of victims/patients</t>
  </si>
  <si>
    <t>provide scripted key questions for each separate chief complaint</t>
  </si>
  <si>
    <t>key questions are specific to patient's chief complaint</t>
  </si>
  <si>
    <t>acuity</t>
  </si>
  <si>
    <t>mechanism of injury</t>
  </si>
  <si>
    <t>scene circumstances</t>
  </si>
  <si>
    <t>street address</t>
  </si>
  <si>
    <t>address point</t>
  </si>
  <si>
    <t>intersection</t>
  </si>
  <si>
    <t>common place</t>
  </si>
  <si>
    <t>entering street name</t>
  </si>
  <si>
    <t>entering multiple street names</t>
  </si>
  <si>
    <t>entering address ranges for a street</t>
  </si>
  <si>
    <t>entering common place name</t>
  </si>
  <si>
    <t>speed</t>
  </si>
  <si>
    <t xml:space="preserve">placard </t>
  </si>
  <si>
    <t>chemical name</t>
  </si>
  <si>
    <t>wildcards</t>
  </si>
  <si>
    <t xml:space="preserve">chemical (by name, code, category) </t>
  </si>
  <si>
    <t>consequences of chemical</t>
  </si>
  <si>
    <t>resource list for mitigation</t>
  </si>
  <si>
    <t>first aid/exposure information</t>
  </si>
  <si>
    <t>user ID</t>
  </si>
  <si>
    <t>alias radio ID</t>
  </si>
  <si>
    <t>radio ID</t>
  </si>
  <si>
    <t>date/time transmission initiated</t>
  </si>
  <si>
    <t>date/time transmission ended</t>
  </si>
  <si>
    <t>channel/talk group</t>
  </si>
  <si>
    <t>radio alias ID</t>
  </si>
  <si>
    <t>transaction time stamp</t>
  </si>
  <si>
    <t>emergency button information</t>
  </si>
  <si>
    <t>unit type</t>
  </si>
  <si>
    <t>reporting frequency</t>
  </si>
  <si>
    <t>altitude</t>
  </si>
  <si>
    <t>user defined fields</t>
  </si>
  <si>
    <t>radio stop reporting</t>
  </si>
  <si>
    <t>radio start reporting</t>
  </si>
  <si>
    <t>decrease reporting frequency</t>
  </si>
  <si>
    <t>increase reporting frequency</t>
  </si>
  <si>
    <t>adjust the refresh rate of radio data</t>
  </si>
  <si>
    <t>subject</t>
  </si>
  <si>
    <t>vehicle</t>
  </si>
  <si>
    <t>vehicle registration</t>
  </si>
  <si>
    <t>drivers license</t>
  </si>
  <si>
    <t>stolen vehicles</t>
  </si>
  <si>
    <t>wanted persons</t>
  </si>
  <si>
    <t>criminal history</t>
  </si>
  <si>
    <t>warrants</t>
  </si>
  <si>
    <t>drivers history</t>
  </si>
  <si>
    <t>vehicle identification number (VIN)</t>
  </si>
  <si>
    <t>view unit status</t>
  </si>
  <si>
    <t>view pending events</t>
  </si>
  <si>
    <t>close an event</t>
  </si>
  <si>
    <t>add notes/narrative to active events</t>
  </si>
  <si>
    <t>change unit status</t>
  </si>
  <si>
    <t>log units on</t>
  </si>
  <si>
    <t>log units off</t>
  </si>
  <si>
    <t>dispatch or assign units to events</t>
  </si>
  <si>
    <t>change unit capabilities</t>
  </si>
  <si>
    <t>open closed events</t>
  </si>
  <si>
    <t>add notes/narrative to closed events</t>
  </si>
  <si>
    <t>run and print reports</t>
  </si>
  <si>
    <t>The system interfaces and can send data to the State database.</t>
  </si>
  <si>
    <t>The system interfaces with a Mobile Data System. (Seeking integrated CAD/MDS system)</t>
  </si>
  <si>
    <t>The system is capable of an interface to a third party Automatic Vehicle Location (AVL) system. (Seeking integrated CAD/MDS AVL)</t>
  </si>
  <si>
    <t>The system interfaces with an EOC Crisis Management Software (e.g., WebEOC, Knowledge Center, Everbridge)</t>
  </si>
  <si>
    <t>The system provides an interface with the Motorola radio console to perform tone alert paging.</t>
  </si>
  <si>
    <t>The system provides a one way interface to the Customer's fire station alerting solution.</t>
  </si>
  <si>
    <t>The system provides a two way interface to the Customer's fire station alerting solution.</t>
  </si>
  <si>
    <t xml:space="preserve">Ability to provide a two-way interface with other local agencies CAD system.  </t>
  </si>
  <si>
    <t>The following transactions can be performed by an authorized user, at a minimum:</t>
  </si>
  <si>
    <t>The system will automatically submit DMV (or Secretary of State), State, and NCIC transactions during the entry of the data into the system. For example, the data collected and entered into CAD during a vehicle traffic stop.</t>
  </si>
  <si>
    <t>The system can automatically submit State and NCIC transactions based on data returned during initial transactions to external databases. For example, automatic submission to State and NCIC of the owner's information from a registration check.</t>
  </si>
  <si>
    <t>in route to hospital</t>
  </si>
  <si>
    <t>at hospital</t>
  </si>
  <si>
    <t>The system provides the ability to interface to the participating agency's RMS for the purpose of data sharing via inquiry (e.g. master name, warrants, vehicles).</t>
  </si>
  <si>
    <t>The system provides the ability to share limited incident information that can be accessed by the public via the internet to view current events (e.g. date/time, event type, street, name/intersection, etc.).</t>
  </si>
  <si>
    <t>Information available to include in any page/text is definable by an authorized user.</t>
  </si>
  <si>
    <t>The system can interface with the TIMS (Talon Incident Management System) CAD System.</t>
  </si>
  <si>
    <t>The system can interface with the ModUcom CAD System.</t>
  </si>
  <si>
    <r>
      <t>Priority Dispatch ProQA</t>
    </r>
    <r>
      <rPr>
        <vertAlign val="superscript"/>
        <sz val="11"/>
        <rFont val="Arial"/>
        <family val="2"/>
      </rPr>
      <t>TM</t>
    </r>
    <r>
      <rPr>
        <sz val="11"/>
        <rFont val="Arial"/>
        <family val="2"/>
      </rPr>
      <t xml:space="preserve"> Paramount (EMS Protocols).</t>
    </r>
  </si>
  <si>
    <r>
      <t>Priority Dispatch ProQA</t>
    </r>
    <r>
      <rPr>
        <vertAlign val="superscript"/>
        <sz val="11"/>
        <rFont val="Arial"/>
        <family val="2"/>
      </rPr>
      <t>TM</t>
    </r>
    <r>
      <rPr>
        <sz val="11"/>
        <rFont val="Arial"/>
        <family val="2"/>
      </rPr>
      <t xml:space="preserve"> Paramount (EMD Protocols).</t>
    </r>
  </si>
  <si>
    <r>
      <t>Priority Dispatch ProQA</t>
    </r>
    <r>
      <rPr>
        <vertAlign val="superscript"/>
        <sz val="11"/>
        <rFont val="Arial"/>
        <family val="2"/>
      </rPr>
      <t>TM</t>
    </r>
    <r>
      <rPr>
        <sz val="11"/>
        <rFont val="Arial"/>
        <family val="2"/>
      </rPr>
      <t xml:space="preserve"> Paramount (EPD Protocols).</t>
    </r>
  </si>
  <si>
    <t>The system interfaces to the PSAP's E9-1-1 telephone system and answering positions (Intrado Viper 7).</t>
  </si>
  <si>
    <t>The system will interface to fire records management software.</t>
  </si>
  <si>
    <t>The system will interface to EPR Fireworks.</t>
  </si>
  <si>
    <t>CAD Interface Fire Records Management Software</t>
  </si>
  <si>
    <t>The system will interface to Red NMX.</t>
  </si>
  <si>
    <t>The system will interface to ESO Emergency Reporting.</t>
  </si>
  <si>
    <t>The FRMS interface is a two-way interface.</t>
  </si>
  <si>
    <t>The system will interface to FirePrograms.</t>
  </si>
  <si>
    <t>The system will interface to ZOLL Fire Reports.</t>
  </si>
  <si>
    <t>The system will interface to ImageTrend Elite.</t>
  </si>
  <si>
    <t>The system will interface to First Due.</t>
  </si>
  <si>
    <t>The system provides the ability to pass incident data from agency's CAD to the agency's Law Enforcement Records Management System (LERMS), Caliber public safety, on completion of the incident.</t>
  </si>
  <si>
    <t>Vehicle Query</t>
  </si>
  <si>
    <t>Person Query</t>
  </si>
  <si>
    <t>Article Query</t>
  </si>
  <si>
    <t>General Interface</t>
  </si>
  <si>
    <t>Alarm Monitoring</t>
  </si>
  <si>
    <t>Alarm Tracking and Billing</t>
  </si>
  <si>
    <t>Alerting Interface</t>
  </si>
  <si>
    <t>Alpha-Text Paging Interface</t>
  </si>
  <si>
    <t>AVL Interface</t>
  </si>
  <si>
    <t>Bar-Coding</t>
  </si>
  <si>
    <t>Dynamic Radio Re-Grouping</t>
  </si>
  <si>
    <t>CAD2CAD</t>
  </si>
  <si>
    <t>LiveScan Module</t>
  </si>
  <si>
    <t>Dispatch Protocol Software</t>
  </si>
  <si>
    <t>EMS Billing</t>
  </si>
  <si>
    <t>E9-1-1 Interface</t>
  </si>
  <si>
    <t>Emergency Notification System</t>
  </si>
  <si>
    <t>External Databases</t>
  </si>
  <si>
    <t>FRMS</t>
  </si>
  <si>
    <t>Forms</t>
  </si>
  <si>
    <t>Hazardous Materials</t>
  </si>
  <si>
    <t>Logging Recorder</t>
  </si>
  <si>
    <t>NextGen</t>
  </si>
  <si>
    <t>PSAP Master Clock</t>
  </si>
  <si>
    <t>Pictometry</t>
  </si>
  <si>
    <t>Radio System</t>
  </si>
  <si>
    <t>Resource Deployment</t>
  </si>
  <si>
    <t>Rip and Run</t>
  </si>
  <si>
    <t>Site Security System</t>
  </si>
  <si>
    <t>Staffing</t>
  </si>
  <si>
    <t>State NCIC Interface</t>
  </si>
  <si>
    <t>TDD-TTY</t>
  </si>
  <si>
    <t>Web CAD Interface</t>
  </si>
  <si>
    <t>Ticketing Interface</t>
  </si>
  <si>
    <t>Yes/No</t>
  </si>
  <si>
    <t>Alarm Monitoring Company to Emergency Communications Center (ECC) Computer - Aided Dispatch (CAD) Automated Secure Alarm Protocol (ASAP)  APCO/TMA ANS 2.101.3-2021</t>
  </si>
  <si>
    <t>The system integrates with commonly available calendar applications (e.g. Microsoft Outlook, Gmail).</t>
  </si>
  <si>
    <t>The system interfaces with an email server for the purpose of sending / receiving email (e.g. I Am Responding).</t>
  </si>
  <si>
    <t>The system provides direct interaction with the State Crime Information  network/NCIC/NLETS (e.g. METER, CLEAN, LEADS, LEIN).</t>
  </si>
  <si>
    <t>The system interfaces with internet-based alphanumeric/text paging system(s) (e.g. Active 911, PageGate, I Am Responding).</t>
  </si>
  <si>
    <t>The system has the ability to support a one-way interface from CAD to any Reverse 9-1-1 System (e.g. RAVE).</t>
  </si>
  <si>
    <t>The system is able to interface to Equature Logging Recorder system.</t>
  </si>
  <si>
    <t>The system interfaces to Equature logging recorder.</t>
  </si>
  <si>
    <t>The system interfaces with RAVE (a public emergency notification system) (e.g. Reverse911, Everbridge, Red Alert, RAVE).</t>
  </si>
  <si>
    <t>The system supports an interface to What 3 Words.</t>
  </si>
  <si>
    <t>The system provides an interface to the Customer's Motorola (MPSCS) State Radio Console solution. Using Motorola MC7500E.</t>
  </si>
  <si>
    <t>The CAD system is capable of receiving a heartbeat from Motorola (MPSCS) State Radio Console.</t>
  </si>
  <si>
    <t>The CAD system is capable of sending commands to Motorola (MPSCS) State Radio Console for the control of radios.</t>
  </si>
  <si>
    <t>Radio emergency messages received from Motorola (MPSCS) State Radio Console will be displayed on the main street centerline layer.</t>
  </si>
  <si>
    <t>Radio emergency messages received from Motorola (MPSCS) State Radio Console will be displayed in real time on the map.</t>
  </si>
  <si>
    <t>Radio emergency messages received from Motorola (MPSCS) State Radio Console will be displayed on all CAD maps.</t>
  </si>
  <si>
    <t>The system interfaces with Hazmat Applications (e.g., Hazconnect).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</si>
</sst>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45" x14ac:knownFonts="1">
    <font>
      <sz val="11"/>
      <color theme="1"/>
      <name val="Calibri"/>
      <family val="2"/>
      <scheme val="minor"/>
    </font>
    <font>
      <sz val="11"/>
      <name val="Times New Roman"/>
      <family val="1"/>
    </font>
    <font>
      <sz val="10"/>
      <name val="Arial"/>
      <family val="2"/>
    </font>
    <font>
      <b/>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1"/>
      <name val="Times New Roman"/>
      <family val="1"/>
    </font>
    <font>
      <b/>
      <sz val="12"/>
      <name val="Arial"/>
      <family val="2"/>
    </font>
    <font>
      <sz val="12"/>
      <name val="Arial"/>
      <family val="2"/>
    </font>
    <font>
      <sz val="11"/>
      <name val="Arial"/>
      <family val="2"/>
    </font>
    <font>
      <b/>
      <sz val="11"/>
      <color theme="1"/>
      <name val="Calibri"/>
      <family val="2"/>
      <scheme val="minor"/>
    </font>
    <font>
      <sz val="7"/>
      <color theme="1"/>
      <name val="Calibri"/>
      <family val="2"/>
      <scheme val="minor"/>
    </font>
    <font>
      <sz val="9"/>
      <name val="Arial"/>
      <family val="2"/>
    </font>
    <font>
      <sz val="12"/>
      <color theme="1"/>
      <name val="Arial"/>
      <family val="2"/>
    </font>
    <font>
      <b/>
      <sz val="12"/>
      <name val="Calibri"/>
      <family val="2"/>
      <scheme val="minor"/>
    </font>
    <font>
      <b/>
      <u/>
      <sz val="11"/>
      <color theme="1"/>
      <name val="Calibri"/>
      <family val="2"/>
      <scheme val="minor"/>
    </font>
    <font>
      <b/>
      <u/>
      <sz val="11"/>
      <name val="Calibri"/>
      <family val="2"/>
      <scheme val="minor"/>
    </font>
    <font>
      <b/>
      <sz val="14"/>
      <name val="Calibri"/>
      <family val="2"/>
      <scheme val="minor"/>
    </font>
    <font>
      <sz val="11"/>
      <color theme="1"/>
      <name val="Calibri"/>
      <family val="2"/>
      <scheme val="minor"/>
    </font>
    <font>
      <sz val="11"/>
      <name val="Times New Roman"/>
      <family val="1"/>
    </font>
    <font>
      <vertAlign val="superscript"/>
      <sz val="11"/>
      <name val="Arial"/>
      <family val="2"/>
    </font>
    <font>
      <b/>
      <u/>
      <sz val="16"/>
      <name val="Arial"/>
      <family val="2"/>
    </font>
    <font>
      <b/>
      <sz val="14"/>
      <name val="Arial"/>
      <family val="2"/>
    </font>
    <font>
      <sz val="11"/>
      <name val="Arial"/>
      <family val="2"/>
    </font>
    <font>
      <sz val="12"/>
      <name val="Arial"/>
      <family val="2"/>
    </font>
    <font>
      <sz val="11"/>
      <name val="Arial"/>
      <family val="2"/>
    </font>
    <font>
      <sz val="12"/>
      <name val="Arial"/>
      <family val="2"/>
    </font>
    <font>
      <sz val="12"/>
      <name val="Arial"/>
      <family val="2"/>
    </font>
    <font>
      <sz val="8"/>
      <name val="Calibri"/>
      <family val="2"/>
      <scheme val="minor"/>
    </font>
    <font>
      <b/>
      <sz val="12"/>
      <color theme="1"/>
      <name val="Calibri"/>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
      <patternFill patternType="solid">
        <fgColor rgb="FFFFC000"/>
        <bgColor indexed="64"/>
      </patternFill>
    </fill>
  </fills>
  <borders count="9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diagonal/>
    </border>
    <border>
      <left style="dashed">
        <color theme="0" tint="-0.499984740745262"/>
      </left>
      <right style="dashed">
        <color theme="0" tint="-0.499984740745262"/>
      </right>
      <top style="dashed">
        <color theme="0" tint="-0.499984740745262"/>
      </top>
      <bottom style="dashed">
        <color theme="0" tint="-0.499984740745262"/>
      </bottom>
      <diagonal/>
    </border>
    <border>
      <left style="dashed">
        <color theme="0" tint="-0.499984740745262"/>
      </left>
      <right/>
      <top style="dashed">
        <color theme="0" tint="-0.499984740745262"/>
      </top>
      <bottom style="dashed">
        <color theme="0" tint="-0.499984740745262"/>
      </bottom>
      <diagonal/>
    </border>
    <border>
      <left/>
      <right/>
      <top style="medium">
        <color indexed="64"/>
      </top>
      <bottom style="thin">
        <color indexed="64"/>
      </bottom>
      <diagonal/>
    </border>
    <border>
      <left/>
      <right style="thin">
        <color auto="1"/>
      </right>
      <top/>
      <bottom/>
      <diagonal/>
    </border>
    <border>
      <left style="dashed">
        <color theme="0" tint="-0.499984740745262"/>
      </left>
      <right style="dashed">
        <color theme="0" tint="-0.499984740745262"/>
      </right>
      <top style="dashed">
        <color theme="0" tint="-0.499984740745262"/>
      </top>
      <bottom/>
      <diagonal/>
    </border>
    <border>
      <left style="dashed">
        <color theme="0" tint="-0.499984740745262"/>
      </left>
      <right style="dashed">
        <color theme="0" tint="-0.499984740745262"/>
      </right>
      <top/>
      <bottom style="dashed">
        <color theme="0" tint="-0.499984740745262"/>
      </bottom>
      <diagonal/>
    </border>
    <border>
      <left style="thin">
        <color indexed="64"/>
      </left>
      <right style="dashed">
        <color theme="0" tint="-0.499984740745262"/>
      </right>
      <top style="thin">
        <color indexed="64"/>
      </top>
      <bottom style="dashed">
        <color theme="0" tint="-0.499984740745262"/>
      </bottom>
      <diagonal/>
    </border>
    <border>
      <left style="dashed">
        <color theme="0" tint="-0.499984740745262"/>
      </left>
      <right style="dashed">
        <color theme="0" tint="-0.499984740745262"/>
      </right>
      <top style="thin">
        <color indexed="64"/>
      </top>
      <bottom style="dashed">
        <color theme="0" tint="-0.499984740745262"/>
      </bottom>
      <diagonal/>
    </border>
    <border>
      <left style="dashed">
        <color theme="0" tint="-0.499984740745262"/>
      </left>
      <right style="thin">
        <color indexed="64"/>
      </right>
      <top style="thin">
        <color indexed="64"/>
      </top>
      <bottom style="dashed">
        <color theme="0" tint="-0.499984740745262"/>
      </bottom>
      <diagonal/>
    </border>
    <border>
      <left style="thin">
        <color indexed="64"/>
      </left>
      <right style="dashed">
        <color theme="0" tint="-0.499984740745262"/>
      </right>
      <top style="dashed">
        <color theme="0" tint="-0.499984740745262"/>
      </top>
      <bottom style="dashed">
        <color theme="0" tint="-0.499984740745262"/>
      </bottom>
      <diagonal/>
    </border>
    <border>
      <left style="dashed">
        <color theme="0" tint="-0.499984740745262"/>
      </left>
      <right style="thin">
        <color indexed="64"/>
      </right>
      <top style="dashed">
        <color theme="0" tint="-0.499984740745262"/>
      </top>
      <bottom style="dashed">
        <color theme="0" tint="-0.499984740745262"/>
      </bottom>
      <diagonal/>
    </border>
    <border>
      <left style="thin">
        <color indexed="64"/>
      </left>
      <right style="dashed">
        <color theme="0" tint="-0.499984740745262"/>
      </right>
      <top style="dashed">
        <color theme="0" tint="-0.499984740745262"/>
      </top>
      <bottom style="thin">
        <color indexed="64"/>
      </bottom>
      <diagonal/>
    </border>
    <border>
      <left style="dashed">
        <color theme="0" tint="-0.499984740745262"/>
      </left>
      <right style="dashed">
        <color theme="0" tint="-0.499984740745262"/>
      </right>
      <top style="dashed">
        <color theme="0" tint="-0.499984740745262"/>
      </top>
      <bottom style="thin">
        <color indexed="64"/>
      </bottom>
      <diagonal/>
    </border>
    <border>
      <left style="dashed">
        <color theme="0" tint="-0.499984740745262"/>
      </left>
      <right style="thin">
        <color indexed="64"/>
      </right>
      <top style="dashed">
        <color theme="0" tint="-0.499984740745262"/>
      </top>
      <bottom style="thin">
        <color indexed="64"/>
      </bottom>
      <diagonal/>
    </border>
    <border>
      <left style="thin">
        <color indexed="64"/>
      </left>
      <right style="dashed">
        <color theme="0" tint="-0.499984740745262"/>
      </right>
      <top/>
      <bottom style="dashed">
        <color theme="0" tint="-0.499984740745262"/>
      </bottom>
      <diagonal/>
    </border>
    <border>
      <left style="dashed">
        <color theme="0" tint="-0.499984740745262"/>
      </left>
      <right style="thin">
        <color indexed="64"/>
      </right>
      <top/>
      <bottom style="dashed">
        <color theme="0" tint="-0.499984740745262"/>
      </bottom>
      <diagonal/>
    </border>
    <border>
      <left style="dashed">
        <color theme="0" tint="-0.499984740745262"/>
      </left>
      <right style="dashed">
        <color theme="0" tint="-0.499984740745262"/>
      </right>
      <top/>
      <bottom/>
      <diagonal/>
    </border>
    <border>
      <left style="dashed">
        <color theme="0" tint="-0.499984740745262"/>
      </left>
      <right style="thin">
        <color indexed="64"/>
      </right>
      <top style="dashed">
        <color theme="0" tint="-0.499984740745262"/>
      </top>
      <bottom/>
      <diagonal/>
    </border>
    <border>
      <left style="thin">
        <color indexed="64"/>
      </left>
      <right style="dashed">
        <color theme="0" tint="-0.499984740745262"/>
      </right>
      <top style="dashed">
        <color theme="0" tint="-0.499984740745262"/>
      </top>
      <bottom/>
      <diagonal/>
    </border>
    <border>
      <left style="dashed">
        <color theme="0" tint="-0.499984740745262"/>
      </left>
      <right/>
      <top/>
      <bottom style="dashed">
        <color theme="0" tint="-0.4999847407452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ashed">
        <color theme="0" tint="-0.499984740745262"/>
      </left>
      <right/>
      <top style="dashed">
        <color theme="0" tint="-0.499984740745262"/>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bottom/>
      <diagonal/>
    </border>
    <border>
      <left style="dashed">
        <color theme="1" tint="0.14999847407452621"/>
      </left>
      <right/>
      <top style="dashed">
        <color theme="1" tint="0.14999847407452621"/>
      </top>
      <bottom/>
      <diagonal/>
    </border>
    <border>
      <left/>
      <right/>
      <top style="dashed">
        <color theme="1" tint="0.14999847407452621"/>
      </top>
      <bottom/>
      <diagonal/>
    </border>
    <border>
      <left/>
      <right style="dashed">
        <color theme="1" tint="0.14999847407452621"/>
      </right>
      <top style="dashed">
        <color theme="1" tint="0.14999847407452621"/>
      </top>
      <bottom/>
      <diagonal/>
    </border>
    <border>
      <left style="dashed">
        <color theme="1" tint="0.14999847407452621"/>
      </left>
      <right/>
      <top/>
      <bottom/>
      <diagonal/>
    </border>
    <border>
      <left/>
      <right style="dashed">
        <color theme="1" tint="0.14999847407452621"/>
      </right>
      <top/>
      <bottom/>
      <diagonal/>
    </border>
    <border>
      <left style="dashed">
        <color theme="1" tint="0.14999847407452621"/>
      </left>
      <right/>
      <top style="medium">
        <color indexed="64"/>
      </top>
      <bottom/>
      <diagonal/>
    </border>
    <border>
      <left style="dashed">
        <color theme="1" tint="0.14999847407452621"/>
      </left>
      <right/>
      <top/>
      <bottom style="medium">
        <color indexed="64"/>
      </bottom>
      <diagonal/>
    </border>
    <border>
      <left style="dashed">
        <color theme="1" tint="0.14999847407452621"/>
      </left>
      <right/>
      <top/>
      <bottom style="dashed">
        <color theme="1" tint="0.14999847407452621"/>
      </bottom>
      <diagonal/>
    </border>
    <border>
      <left/>
      <right/>
      <top/>
      <bottom style="dashed">
        <color theme="1" tint="0.14999847407452621"/>
      </bottom>
      <diagonal/>
    </border>
    <border>
      <left/>
      <right style="dashed">
        <color theme="1" tint="0.14999847407452621"/>
      </right>
      <top/>
      <bottom style="dashed">
        <color theme="1" tint="0.14999847407452621"/>
      </bottom>
      <diagonal/>
    </border>
    <border>
      <left/>
      <right/>
      <top style="thin">
        <color indexed="64"/>
      </top>
      <bottom style="medium">
        <color indexed="64"/>
      </bottom>
      <diagonal/>
    </border>
    <border>
      <left style="medium">
        <color rgb="FFFFC000"/>
      </left>
      <right/>
      <top style="medium">
        <color rgb="FFFFC000"/>
      </top>
      <bottom style="medium">
        <color rgb="FFFFC000"/>
      </bottom>
      <diagonal/>
    </border>
    <border>
      <left/>
      <right/>
      <top style="medium">
        <color rgb="FFFFC000"/>
      </top>
      <bottom style="medium">
        <color rgb="FFFFC000"/>
      </bottom>
      <diagonal/>
    </border>
    <border>
      <left/>
      <right style="medium">
        <color rgb="FFFFC000"/>
      </right>
      <top style="medium">
        <color rgb="FFFFC000"/>
      </top>
      <bottom style="medium">
        <color rgb="FFFFC000"/>
      </bottom>
      <diagonal/>
    </border>
    <border>
      <left/>
      <right/>
      <top/>
      <bottom style="dotted">
        <color indexed="64"/>
      </bottom>
      <diagonal/>
    </border>
    <border>
      <left/>
      <right/>
      <top style="dotted">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dashed">
        <color theme="0" tint="-0.499984740745262"/>
      </right>
      <top style="dashed">
        <color theme="0" tint="-0.499984740745262"/>
      </top>
      <bottom style="medium">
        <color indexed="64"/>
      </bottom>
      <diagonal/>
    </border>
    <border>
      <left style="dashed">
        <color theme="0" tint="-0.499984740745262"/>
      </left>
      <right style="dashed">
        <color theme="0" tint="-0.499984740745262"/>
      </right>
      <top style="dashed">
        <color theme="0" tint="-0.499984740745262"/>
      </top>
      <bottom style="medium">
        <color indexed="64"/>
      </bottom>
      <diagonal/>
    </border>
    <border>
      <left/>
      <right style="medium">
        <color indexed="64"/>
      </right>
      <top style="thin">
        <color indexed="64"/>
      </top>
      <bottom style="medium">
        <color indexed="64"/>
      </bottom>
      <diagonal/>
    </border>
    <border>
      <left style="dashed">
        <color theme="0" tint="-0.499984740745262"/>
      </left>
      <right style="thin">
        <color indexed="64"/>
      </right>
      <top/>
      <bottom/>
      <diagonal/>
    </border>
    <border>
      <left style="dashed">
        <color theme="0" tint="-0.499984740745262"/>
      </left>
      <right style="thin">
        <color indexed="64"/>
      </right>
      <top/>
      <bottom style="medium">
        <color indexed="64"/>
      </bottom>
      <diagonal/>
    </border>
    <border>
      <left style="thin">
        <color indexed="64"/>
      </left>
      <right style="dashed">
        <color theme="0" tint="-0.499984740745262"/>
      </right>
      <top/>
      <bottom style="medium">
        <color indexed="64"/>
      </bottom>
      <diagonal/>
    </border>
    <border>
      <left style="dashed">
        <color theme="0" tint="-0.499984740745262"/>
      </left>
      <right style="dashed">
        <color theme="0" tint="-0.499984740745262"/>
      </right>
      <top/>
      <bottom style="medium">
        <color indexed="64"/>
      </bottom>
      <diagonal/>
    </border>
    <border>
      <left style="dashed">
        <color theme="0" tint="-0.499984740745262"/>
      </left>
      <right/>
      <top style="dashed">
        <color theme="0" tint="-0.499984740745262"/>
      </top>
      <bottom/>
      <diagonal/>
    </border>
    <border>
      <left style="hair">
        <color indexed="64"/>
      </left>
      <right style="hair">
        <color indexed="64"/>
      </right>
      <top style="hair">
        <color indexed="64"/>
      </top>
      <bottom style="hair">
        <color indexed="64"/>
      </bottom>
      <diagonal/>
    </border>
  </borders>
  <cellStyleXfs count="59">
    <xf numFmtId="0" fontId="0" fillId="0" borderId="0"/>
    <xf numFmtId="0" fontId="1"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2" fillId="0" borderId="0"/>
    <xf numFmtId="0" fontId="21" fillId="0" borderId="0"/>
    <xf numFmtId="0" fontId="2" fillId="23" borderId="7" applyNumberFormat="0" applyFont="0" applyAlignment="0" applyProtection="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0" borderId="0" applyNumberFormat="0" applyFill="0" applyBorder="0" applyAlignment="0" applyProtection="0"/>
    <xf numFmtId="0" fontId="2" fillId="23" borderId="7" applyNumberFormat="0" applyFont="0" applyAlignment="0" applyProtection="0"/>
    <xf numFmtId="0" fontId="2" fillId="23" borderId="41" applyNumberFormat="0" applyFont="0" applyAlignment="0" applyProtection="0"/>
    <xf numFmtId="0" fontId="17" fillId="20" borderId="42" applyNumberFormat="0" applyAlignment="0" applyProtection="0"/>
    <xf numFmtId="0" fontId="19" fillId="0" borderId="43" applyNumberFormat="0" applyFill="0" applyAlignment="0" applyProtection="0"/>
    <xf numFmtId="0" fontId="2" fillId="23" borderId="41" applyNumberFormat="0" applyFont="0" applyAlignment="0" applyProtection="0"/>
    <xf numFmtId="0" fontId="7" fillId="20" borderId="44" applyNumberFormat="0" applyAlignment="0" applyProtection="0"/>
    <xf numFmtId="0" fontId="14" fillId="7" borderId="44" applyNumberFormat="0" applyAlignment="0" applyProtection="0"/>
    <xf numFmtId="0" fontId="34" fillId="0" borderId="0"/>
    <xf numFmtId="0" fontId="1" fillId="0" borderId="0"/>
    <xf numFmtId="0" fontId="33" fillId="0" borderId="0"/>
    <xf numFmtId="0" fontId="2" fillId="0" borderId="0"/>
    <xf numFmtId="0" fontId="2" fillId="0" borderId="0"/>
    <xf numFmtId="0" fontId="33" fillId="0" borderId="0"/>
    <xf numFmtId="0" fontId="1" fillId="0" borderId="0"/>
  </cellStyleXfs>
  <cellXfs count="312">
    <xf numFmtId="0" fontId="0" fillId="0" borderId="0" xfId="0"/>
    <xf numFmtId="0" fontId="21" fillId="0" borderId="10" xfId="39" applyBorder="1" applyAlignment="1">
      <alignment horizontal="center"/>
    </xf>
    <xf numFmtId="0" fontId="21" fillId="0" borderId="11" xfId="39" applyBorder="1" applyAlignment="1">
      <alignment horizontal="center"/>
    </xf>
    <xf numFmtId="0" fontId="21" fillId="0" borderId="12" xfId="39" applyBorder="1" applyAlignment="1">
      <alignment horizontal="center"/>
    </xf>
    <xf numFmtId="0" fontId="30" fillId="0" borderId="0" xfId="0" applyFont="1" applyAlignment="1">
      <alignment horizontal="center" wrapText="1"/>
    </xf>
    <xf numFmtId="0" fontId="31" fillId="24" borderId="13" xfId="1" applyFont="1" applyFill="1" applyBorder="1" applyAlignment="1">
      <alignment horizontal="center" wrapText="1"/>
    </xf>
    <xf numFmtId="0" fontId="0" fillId="0" borderId="13" xfId="0" applyBorder="1" applyAlignment="1">
      <alignment horizontal="center"/>
    </xf>
    <xf numFmtId="0" fontId="0" fillId="0" borderId="13" xfId="0" applyBorder="1" applyAlignment="1">
      <alignment horizontal="right"/>
    </xf>
    <xf numFmtId="0" fontId="3" fillId="0" borderId="0" xfId="39" applyFont="1" applyAlignment="1">
      <alignment horizontal="center"/>
    </xf>
    <xf numFmtId="0" fontId="3" fillId="0" borderId="55" xfId="39" applyFont="1" applyBorder="1"/>
    <xf numFmtId="0" fontId="21" fillId="0" borderId="57" xfId="39" applyBorder="1"/>
    <xf numFmtId="0" fontId="21" fillId="0" borderId="55" xfId="39" applyBorder="1"/>
    <xf numFmtId="0" fontId="21" fillId="0" borderId="58" xfId="39" applyBorder="1"/>
    <xf numFmtId="0" fontId="29" fillId="24" borderId="17" xfId="1" applyFont="1" applyFill="1" applyBorder="1" applyAlignment="1">
      <alignment horizontal="left" vertical="center"/>
    </xf>
    <xf numFmtId="0" fontId="29" fillId="24" borderId="18" xfId="1" applyFont="1" applyFill="1" applyBorder="1" applyAlignment="1">
      <alignment horizontal="left" vertical="center"/>
    </xf>
    <xf numFmtId="0" fontId="0" fillId="0" borderId="15" xfId="0" applyBorder="1" applyAlignment="1">
      <alignment horizontal="center"/>
    </xf>
    <xf numFmtId="0" fontId="0" fillId="0" borderId="23" xfId="0" applyBorder="1" applyAlignment="1">
      <alignment horizontal="center" vertical="center"/>
    </xf>
    <xf numFmtId="0" fontId="0" fillId="0" borderId="62" xfId="0" applyBorder="1" applyAlignment="1">
      <alignment horizontal="center" vertical="center"/>
    </xf>
    <xf numFmtId="0" fontId="0" fillId="0" borderId="17" xfId="0" applyBorder="1" applyAlignment="1">
      <alignment horizontal="center" vertical="center"/>
    </xf>
    <xf numFmtId="0" fontId="32" fillId="24" borderId="16" xfId="1" applyFont="1" applyFill="1" applyBorder="1" applyAlignment="1">
      <alignment horizontal="left" vertical="center"/>
    </xf>
    <xf numFmtId="0" fontId="23" fillId="0" borderId="17" xfId="1" applyFont="1" applyBorder="1" applyAlignment="1" applyProtection="1">
      <alignment horizontal="left" vertical="center" wrapText="1"/>
      <protection locked="0"/>
    </xf>
    <xf numFmtId="0" fontId="23" fillId="0" borderId="72" xfId="1" applyFont="1" applyBorder="1" applyAlignment="1" applyProtection="1">
      <alignment horizontal="left" vertical="center" wrapText="1"/>
      <protection locked="0"/>
    </xf>
    <xf numFmtId="0" fontId="23" fillId="0" borderId="16" xfId="1" applyFont="1" applyBorder="1" applyAlignment="1" applyProtection="1">
      <alignment horizontal="left" vertical="center" wrapText="1"/>
      <protection locked="0"/>
    </xf>
    <xf numFmtId="0" fontId="23" fillId="0" borderId="0" xfId="1" applyFont="1" applyAlignment="1" applyProtection="1">
      <alignment horizontal="left" vertical="center" wrapText="1"/>
      <protection locked="0"/>
    </xf>
    <xf numFmtId="0" fontId="23" fillId="0" borderId="17" xfId="1" applyFont="1" applyBorder="1" applyAlignment="1" applyProtection="1">
      <alignment vertical="center" wrapText="1"/>
      <protection locked="0"/>
    </xf>
    <xf numFmtId="0" fontId="23" fillId="0" borderId="71" xfId="1" applyFont="1" applyBorder="1" applyAlignment="1" applyProtection="1">
      <alignment horizontal="left" vertical="center" wrapText="1"/>
      <protection locked="0"/>
    </xf>
    <xf numFmtId="0" fontId="23" fillId="0" borderId="76" xfId="1" applyFont="1" applyBorder="1" applyAlignment="1" applyProtection="1">
      <alignment horizontal="left" vertical="center" wrapText="1"/>
      <protection locked="0"/>
    </xf>
    <xf numFmtId="0" fontId="23" fillId="0" borderId="83" xfId="1" applyFont="1" applyBorder="1" applyAlignment="1" applyProtection="1">
      <alignment horizontal="left" vertical="center" wrapText="1"/>
      <protection locked="0"/>
    </xf>
    <xf numFmtId="0" fontId="37" fillId="27" borderId="46" xfId="1" applyFont="1" applyFill="1" applyBorder="1" applyAlignment="1">
      <alignment horizontal="left" vertical="center"/>
    </xf>
    <xf numFmtId="0" fontId="22" fillId="27" borderId="47" xfId="1" applyFont="1" applyFill="1" applyBorder="1" applyAlignment="1">
      <alignment horizontal="center" vertical="center" wrapText="1"/>
    </xf>
    <xf numFmtId="0" fontId="22" fillId="27" borderId="48" xfId="1" applyFont="1" applyFill="1" applyBorder="1" applyAlignment="1">
      <alignment horizontal="center" vertical="center" wrapText="1"/>
    </xf>
    <xf numFmtId="0" fontId="22" fillId="27" borderId="46" xfId="1" applyFont="1" applyFill="1" applyBorder="1" applyAlignment="1">
      <alignment horizontal="center" vertical="center"/>
    </xf>
    <xf numFmtId="0" fontId="37" fillId="27" borderId="47" xfId="1" applyFont="1" applyFill="1" applyBorder="1" applyAlignment="1">
      <alignment horizontal="center" vertical="center" wrapText="1"/>
    </xf>
    <xf numFmtId="0" fontId="0" fillId="0" borderId="0" xfId="0" applyAlignment="1">
      <alignment horizontal="center"/>
    </xf>
    <xf numFmtId="0" fontId="30" fillId="0" borderId="0" xfId="0" applyFont="1" applyAlignment="1">
      <alignment horizontal="center"/>
    </xf>
    <xf numFmtId="0" fontId="25" fillId="0" borderId="0" xfId="0" applyFont="1" applyAlignment="1">
      <alignment horizontal="center" wrapText="1"/>
    </xf>
    <xf numFmtId="0" fontId="0" fillId="0" borderId="52" xfId="0" applyBorder="1"/>
    <xf numFmtId="0" fontId="0" fillId="0" borderId="53" xfId="0" applyBorder="1"/>
    <xf numFmtId="0" fontId="0" fillId="0" borderId="54" xfId="0" applyBorder="1"/>
    <xf numFmtId="0" fontId="0" fillId="0" borderId="66" xfId="0" applyBorder="1"/>
    <xf numFmtId="0" fontId="0" fillId="0" borderId="66" xfId="0" applyBorder="1" applyAlignment="1">
      <alignment horizontal="center"/>
    </xf>
    <xf numFmtId="0" fontId="0" fillId="0" borderId="55" xfId="0" applyBorder="1"/>
    <xf numFmtId="0" fontId="0" fillId="0" borderId="59" xfId="0" applyBorder="1"/>
    <xf numFmtId="0" fontId="0" fillId="0" borderId="60" xfId="0" applyBorder="1"/>
    <xf numFmtId="0" fontId="0" fillId="0" borderId="67" xfId="0" applyBorder="1"/>
    <xf numFmtId="0" fontId="0" fillId="0" borderId="67" xfId="0" applyBorder="1" applyAlignment="1">
      <alignment horizontal="center"/>
    </xf>
    <xf numFmtId="0" fontId="0" fillId="0" borderId="0" xfId="0" applyProtection="1">
      <protection locked="0"/>
    </xf>
    <xf numFmtId="0" fontId="3" fillId="0" borderId="56" xfId="39" applyFont="1" applyBorder="1" applyAlignment="1" applyProtection="1">
      <alignment horizontal="center"/>
      <protection locked="0"/>
    </xf>
    <xf numFmtId="0" fontId="21" fillId="0" borderId="56" xfId="39" applyBorder="1" applyAlignment="1" applyProtection="1">
      <alignment horizontal="center"/>
      <protection locked="0"/>
    </xf>
    <xf numFmtId="0" fontId="0" fillId="0" borderId="56" xfId="0" applyBorder="1" applyProtection="1">
      <protection locked="0"/>
    </xf>
    <xf numFmtId="0" fontId="0" fillId="0" borderId="61" xfId="0" applyBorder="1" applyProtection="1">
      <protection locked="0"/>
    </xf>
    <xf numFmtId="0" fontId="0" fillId="0" borderId="0" xfId="0" applyAlignment="1" applyProtection="1">
      <alignment horizontal="center"/>
      <protection locked="0"/>
    </xf>
    <xf numFmtId="0" fontId="0" fillId="0" borderId="66" xfId="0" applyBorder="1" applyAlignment="1" applyProtection="1">
      <alignment horizontal="center"/>
      <protection locked="0"/>
    </xf>
    <xf numFmtId="0" fontId="0" fillId="0" borderId="67" xfId="0" applyBorder="1" applyAlignment="1" applyProtection="1">
      <alignment horizontal="center"/>
      <protection locked="0"/>
    </xf>
    <xf numFmtId="0" fontId="39" fillId="0" borderId="17" xfId="1" applyFont="1" applyBorder="1" applyAlignment="1" applyProtection="1">
      <alignment horizontal="left" vertical="center" wrapText="1"/>
      <protection locked="0"/>
    </xf>
    <xf numFmtId="0" fontId="23" fillId="25" borderId="17" xfId="1" applyFont="1" applyFill="1" applyBorder="1" applyAlignment="1" applyProtection="1">
      <alignment horizontal="left" vertical="center" wrapText="1"/>
      <protection locked="0"/>
    </xf>
    <xf numFmtId="0" fontId="23" fillId="25" borderId="16" xfId="1" applyFont="1" applyFill="1" applyBorder="1" applyAlignment="1" applyProtection="1">
      <alignment horizontal="left" vertical="center" wrapText="1"/>
      <protection locked="0"/>
    </xf>
    <xf numFmtId="0" fontId="23" fillId="25" borderId="0" xfId="1" applyFont="1" applyFill="1" applyAlignment="1" applyProtection="1">
      <alignment horizontal="left" vertical="center" wrapText="1"/>
      <protection locked="0"/>
    </xf>
    <xf numFmtId="0" fontId="23" fillId="25" borderId="71" xfId="1" applyFont="1" applyFill="1" applyBorder="1" applyAlignment="1" applyProtection="1">
      <alignment horizontal="left" vertical="center" wrapText="1"/>
      <protection locked="0"/>
    </xf>
    <xf numFmtId="0" fontId="23" fillId="25" borderId="72" xfId="1" applyFont="1" applyFill="1" applyBorder="1" applyAlignment="1" applyProtection="1">
      <alignment horizontal="left" vertical="center" wrapText="1"/>
      <protection locked="0"/>
    </xf>
    <xf numFmtId="0" fontId="44" fillId="0" borderId="0" xfId="0" applyFont="1" applyAlignment="1">
      <alignment horizontal="center"/>
    </xf>
    <xf numFmtId="0" fontId="25" fillId="0" borderId="0" xfId="0" applyFont="1"/>
    <xf numFmtId="0" fontId="26" fillId="0" borderId="30" xfId="0" applyFont="1" applyBorder="1" applyAlignment="1">
      <alignment horizontal="center" wrapText="1"/>
    </xf>
    <xf numFmtId="0" fontId="0" fillId="0" borderId="0" xfId="0" applyAlignment="1">
      <alignment vertical="center"/>
    </xf>
    <xf numFmtId="0" fontId="26" fillId="0" borderId="0" xfId="0" applyFont="1" applyAlignment="1">
      <alignment horizontal="center" wrapText="1"/>
    </xf>
    <xf numFmtId="0" fontId="23" fillId="27" borderId="12" xfId="1" applyFont="1" applyFill="1" applyBorder="1" applyAlignment="1">
      <alignment horizontal="center" vertical="center" wrapText="1"/>
    </xf>
    <xf numFmtId="0" fontId="23" fillId="27" borderId="49" xfId="1" applyFont="1" applyFill="1" applyBorder="1" applyAlignment="1">
      <alignment horizontal="center" vertical="center" wrapText="1"/>
    </xf>
    <xf numFmtId="0" fontId="23" fillId="27" borderId="50" xfId="1" applyFont="1" applyFill="1" applyBorder="1" applyAlignment="1">
      <alignment horizontal="center" vertical="center" textRotation="90" wrapText="1"/>
    </xf>
    <xf numFmtId="0" fontId="23" fillId="27" borderId="50" xfId="1" applyFont="1" applyFill="1" applyBorder="1" applyAlignment="1">
      <alignment horizontal="center" vertical="center" textRotation="90"/>
    </xf>
    <xf numFmtId="0" fontId="23" fillId="27" borderId="20" xfId="1" applyFont="1" applyFill="1" applyBorder="1" applyAlignment="1">
      <alignment horizontal="center" vertical="center" textRotation="90"/>
    </xf>
    <xf numFmtId="0" fontId="23" fillId="27" borderId="20" xfId="1" applyFont="1" applyFill="1" applyBorder="1" applyAlignment="1">
      <alignment horizontal="center" vertical="center" wrapText="1"/>
    </xf>
    <xf numFmtId="0" fontId="28" fillId="0" borderId="0" xfId="0" applyFont="1"/>
    <xf numFmtId="0" fontId="22" fillId="24" borderId="23" xfId="1" applyFont="1" applyFill="1" applyBorder="1" applyAlignment="1">
      <alignment vertical="center"/>
    </xf>
    <xf numFmtId="0" fontId="26" fillId="0" borderId="35" xfId="0" applyFont="1" applyBorder="1" applyAlignment="1">
      <alignment horizontal="center" wrapText="1"/>
    </xf>
    <xf numFmtId="0" fontId="23" fillId="0" borderId="40" xfId="1" applyFont="1" applyBorder="1"/>
    <xf numFmtId="0" fontId="27" fillId="0" borderId="63" xfId="1" applyFont="1" applyBorder="1" applyAlignment="1">
      <alignment horizontal="center" vertical="center" wrapText="1"/>
    </xf>
    <xf numFmtId="0" fontId="27" fillId="0" borderId="64" xfId="1" applyFont="1" applyBorder="1" applyAlignment="1">
      <alignment horizontal="center" vertical="center" wrapText="1"/>
    </xf>
    <xf numFmtId="0" fontId="23" fillId="0" borderId="65" xfId="1" applyFont="1" applyBorder="1" applyAlignment="1">
      <alignment horizontal="center" vertical="center"/>
    </xf>
    <xf numFmtId="0" fontId="24" fillId="0" borderId="19" xfId="1" applyFont="1" applyBorder="1" applyAlignment="1">
      <alignment horizontal="center" vertical="center"/>
    </xf>
    <xf numFmtId="0" fontId="24" fillId="0" borderId="14" xfId="1" applyFont="1" applyBorder="1" applyAlignment="1">
      <alignment horizontal="center" vertical="center"/>
    </xf>
    <xf numFmtId="0" fontId="24" fillId="0" borderId="14" xfId="1" applyFont="1" applyBorder="1" applyAlignment="1">
      <alignment horizontal="center" vertical="center" wrapText="1"/>
    </xf>
    <xf numFmtId="0" fontId="24" fillId="0" borderId="15" xfId="52" applyFont="1" applyBorder="1" applyAlignment="1">
      <alignment vertical="center" wrapText="1"/>
    </xf>
    <xf numFmtId="0" fontId="23" fillId="0" borderId="26" xfId="1" applyFont="1" applyBorder="1" applyAlignment="1">
      <alignment horizontal="center"/>
    </xf>
    <xf numFmtId="0" fontId="24" fillId="0" borderId="26" xfId="1" applyFont="1" applyBorder="1" applyAlignment="1">
      <alignment horizontal="center"/>
    </xf>
    <xf numFmtId="0" fontId="23" fillId="0" borderId="36" xfId="1" applyFont="1" applyBorder="1" applyAlignment="1">
      <alignment horizontal="center"/>
    </xf>
    <xf numFmtId="0" fontId="23" fillId="0" borderId="17" xfId="1" applyFont="1" applyBorder="1" applyAlignment="1">
      <alignment horizontal="left" vertical="center" wrapText="1"/>
    </xf>
    <xf numFmtId="0" fontId="23" fillId="24" borderId="13" xfId="53" applyFont="1" applyFill="1" applyBorder="1" applyAlignment="1">
      <alignment horizontal="center" vertical="center" shrinkToFit="1"/>
    </xf>
    <xf numFmtId="0" fontId="23" fillId="0" borderId="21" xfId="1" applyFont="1" applyBorder="1"/>
    <xf numFmtId="0" fontId="24" fillId="0" borderId="13" xfId="52" applyFont="1" applyBorder="1" applyAlignment="1">
      <alignment vertical="center" wrapText="1"/>
    </xf>
    <xf numFmtId="0" fontId="24" fillId="0" borderId="13" xfId="52" applyFont="1" applyBorder="1" applyAlignment="1">
      <alignment horizontal="left" vertical="center" wrapText="1"/>
    </xf>
    <xf numFmtId="0" fontId="24" fillId="0" borderId="26" xfId="1" applyFont="1" applyBorder="1"/>
    <xf numFmtId="0" fontId="23" fillId="0" borderId="21" xfId="1" applyFont="1" applyBorder="1" applyAlignment="1">
      <alignment horizontal="center"/>
    </xf>
    <xf numFmtId="0" fontId="24" fillId="0" borderId="21" xfId="1" applyFont="1" applyBorder="1" applyAlignment="1">
      <alignment horizontal="center"/>
    </xf>
    <xf numFmtId="0" fontId="24" fillId="0" borderId="15" xfId="39" applyFont="1" applyBorder="1" applyAlignment="1">
      <alignment horizontal="left" vertical="center" wrapText="1"/>
    </xf>
    <xf numFmtId="0" fontId="24" fillId="0" borderId="14" xfId="0" applyFont="1" applyBorder="1" applyAlignment="1">
      <alignment horizontal="left" vertical="center" wrapText="1"/>
    </xf>
    <xf numFmtId="0" fontId="23" fillId="27" borderId="68" xfId="1" applyFont="1" applyFill="1" applyBorder="1" applyAlignment="1">
      <alignment horizontal="center" vertical="center" wrapText="1"/>
    </xf>
    <xf numFmtId="0" fontId="23" fillId="27" borderId="69" xfId="1" applyFont="1" applyFill="1" applyBorder="1" applyAlignment="1">
      <alignment horizontal="center" vertical="center" textRotation="90" wrapText="1"/>
    </xf>
    <xf numFmtId="0" fontId="23" fillId="27" borderId="69" xfId="1" applyFont="1" applyFill="1" applyBorder="1" applyAlignment="1">
      <alignment horizontal="center" vertical="center" textRotation="90"/>
    </xf>
    <xf numFmtId="0" fontId="23" fillId="27" borderId="70" xfId="1" applyFont="1" applyFill="1" applyBorder="1" applyAlignment="1">
      <alignment horizontal="center" vertical="center" textRotation="90"/>
    </xf>
    <xf numFmtId="0" fontId="23" fillId="27" borderId="69" xfId="1" applyFont="1" applyFill="1" applyBorder="1" applyAlignment="1">
      <alignment horizontal="center" vertical="center" wrapText="1"/>
    </xf>
    <xf numFmtId="0" fontId="22" fillId="24" borderId="73" xfId="1" applyFont="1" applyFill="1" applyBorder="1" applyAlignment="1">
      <alignment vertical="center"/>
    </xf>
    <xf numFmtId="0" fontId="22" fillId="24" borderId="74" xfId="1" applyFont="1" applyFill="1" applyBorder="1" applyAlignment="1">
      <alignment vertical="center"/>
    </xf>
    <xf numFmtId="0" fontId="24" fillId="0" borderId="75" xfId="1" applyFont="1" applyBorder="1" applyAlignment="1">
      <alignment horizontal="center" vertical="center"/>
    </xf>
    <xf numFmtId="0" fontId="24" fillId="0" borderId="14" xfId="0" applyFont="1" applyBorder="1" applyAlignment="1">
      <alignment vertical="center" wrapText="1"/>
    </xf>
    <xf numFmtId="0" fontId="24" fillId="0" borderId="13" xfId="0" applyFont="1" applyBorder="1" applyAlignment="1">
      <alignment vertical="center" wrapText="1"/>
    </xf>
    <xf numFmtId="0" fontId="24" fillId="0" borderId="78" xfId="1" applyFont="1" applyBorder="1" applyAlignment="1">
      <alignment horizontal="center" vertical="center"/>
    </xf>
    <xf numFmtId="0" fontId="24" fillId="0" borderId="79" xfId="1" applyFont="1" applyBorder="1" applyAlignment="1">
      <alignment horizontal="center" vertical="center"/>
    </xf>
    <xf numFmtId="0" fontId="24" fillId="0" borderId="80" xfId="0" applyFont="1" applyBorder="1" applyAlignment="1">
      <alignment vertical="center" wrapText="1"/>
    </xf>
    <xf numFmtId="0" fontId="24" fillId="26" borderId="19" xfId="1" applyFont="1" applyFill="1" applyBorder="1" applyAlignment="1">
      <alignment horizontal="center" vertical="center"/>
    </xf>
    <xf numFmtId="0" fontId="24" fillId="26" borderId="14" xfId="1" applyFont="1" applyFill="1" applyBorder="1" applyAlignment="1">
      <alignment horizontal="center" vertical="center"/>
    </xf>
    <xf numFmtId="0" fontId="24" fillId="26" borderId="14" xfId="1" applyFont="1" applyFill="1" applyBorder="1" applyAlignment="1">
      <alignment horizontal="center" vertical="center" wrapText="1"/>
    </xf>
    <xf numFmtId="0" fontId="24" fillId="26" borderId="51" xfId="52" applyFont="1" applyFill="1" applyBorder="1" applyAlignment="1">
      <alignment vertical="center" wrapText="1"/>
    </xf>
    <xf numFmtId="0" fontId="23" fillId="26" borderId="14" xfId="53" applyFont="1" applyFill="1" applyBorder="1" applyAlignment="1">
      <alignment horizontal="center" vertical="center" shrinkToFit="1"/>
    </xf>
    <xf numFmtId="0" fontId="24" fillId="0" borderId="40" xfId="1" applyFont="1" applyBorder="1"/>
    <xf numFmtId="0" fontId="23" fillId="26" borderId="14" xfId="1" applyFont="1" applyFill="1" applyBorder="1" applyAlignment="1">
      <alignment horizontal="center"/>
    </xf>
    <xf numFmtId="0" fontId="24" fillId="26" borderId="14" xfId="1" applyFont="1" applyFill="1" applyBorder="1" applyAlignment="1">
      <alignment horizontal="center"/>
    </xf>
    <xf numFmtId="0" fontId="23" fillId="0" borderId="71" xfId="1" applyFont="1" applyBorder="1" applyAlignment="1">
      <alignment horizontal="left" vertical="center" wrapText="1"/>
    </xf>
    <xf numFmtId="0" fontId="24" fillId="26" borderId="15" xfId="52" applyFont="1" applyFill="1" applyBorder="1" applyAlignment="1">
      <alignment vertical="center" wrapText="1"/>
    </xf>
    <xf numFmtId="0" fontId="23" fillId="26" borderId="13" xfId="53" applyFont="1" applyFill="1" applyBorder="1" applyAlignment="1">
      <alignment horizontal="center" vertical="center" shrinkToFit="1"/>
    </xf>
    <xf numFmtId="0" fontId="24" fillId="0" borderId="22" xfId="1" applyFont="1" applyBorder="1"/>
    <xf numFmtId="0" fontId="23" fillId="26" borderId="13" xfId="1" applyFont="1" applyFill="1" applyBorder="1" applyAlignment="1">
      <alignment horizontal="center"/>
    </xf>
    <xf numFmtId="0" fontId="24" fillId="26" borderId="13" xfId="1" applyFont="1" applyFill="1" applyBorder="1" applyAlignment="1">
      <alignment horizontal="center"/>
    </xf>
    <xf numFmtId="0" fontId="24" fillId="26" borderId="13" xfId="52" applyFont="1" applyFill="1" applyBorder="1" applyAlignment="1">
      <alignment vertical="center" wrapText="1"/>
    </xf>
    <xf numFmtId="0" fontId="23" fillId="26" borderId="15" xfId="53" applyFont="1" applyFill="1" applyBorder="1" applyAlignment="1">
      <alignment horizontal="center" vertical="center" shrinkToFit="1"/>
    </xf>
    <xf numFmtId="0" fontId="24" fillId="24" borderId="17" xfId="1" applyFont="1" applyFill="1" applyBorder="1" applyAlignment="1">
      <alignment horizontal="center" vertical="center"/>
    </xf>
    <xf numFmtId="0" fontId="24" fillId="24" borderId="16" xfId="1" applyFont="1" applyFill="1" applyBorder="1" applyAlignment="1">
      <alignment horizontal="center" vertical="center"/>
    </xf>
    <xf numFmtId="0" fontId="24" fillId="24" borderId="17" xfId="1" applyFont="1" applyFill="1" applyBorder="1" applyAlignment="1">
      <alignment horizontal="center" vertical="center" wrapText="1"/>
    </xf>
    <xf numFmtId="0" fontId="24" fillId="24" borderId="17" xfId="52" applyFont="1" applyFill="1" applyBorder="1" applyAlignment="1">
      <alignment horizontal="left" vertical="center" wrapText="1"/>
    </xf>
    <xf numFmtId="0" fontId="23" fillId="24" borderId="17" xfId="53" applyFont="1" applyFill="1" applyBorder="1" applyAlignment="1">
      <alignment horizontal="center" vertical="center" shrinkToFit="1"/>
    </xf>
    <xf numFmtId="0" fontId="23" fillId="24" borderId="17" xfId="1" applyFont="1" applyFill="1" applyBorder="1" applyAlignment="1">
      <alignment vertical="center" wrapText="1"/>
    </xf>
    <xf numFmtId="0" fontId="24" fillId="0" borderId="14" xfId="52" applyFont="1" applyBorder="1" applyAlignment="1">
      <alignment horizontal="left" vertical="center" wrapText="1" indent="1"/>
    </xf>
    <xf numFmtId="0" fontId="24" fillId="0" borderId="13" xfId="52" applyFont="1" applyBorder="1" applyAlignment="1">
      <alignment horizontal="left" vertical="center" wrapText="1" indent="1"/>
    </xf>
    <xf numFmtId="0" fontId="23" fillId="0" borderId="0" xfId="1" applyFont="1" applyAlignment="1">
      <alignment horizontal="left" vertical="center" wrapText="1"/>
    </xf>
    <xf numFmtId="0" fontId="22" fillId="24" borderId="16" xfId="0" applyFont="1" applyFill="1" applyBorder="1" applyAlignment="1">
      <alignment vertical="center"/>
    </xf>
    <xf numFmtId="0" fontId="22" fillId="24" borderId="17" xfId="0" applyFont="1" applyFill="1" applyBorder="1" applyAlignment="1">
      <alignment vertical="center"/>
    </xf>
    <xf numFmtId="0" fontId="24" fillId="24" borderId="17" xfId="0" applyFont="1" applyFill="1" applyBorder="1" applyAlignment="1">
      <alignment horizontal="left" vertical="center" wrapText="1"/>
    </xf>
    <xf numFmtId="0" fontId="24" fillId="0" borderId="14" xfId="0" applyFont="1" applyBorder="1" applyAlignment="1">
      <alignment horizontal="left" vertical="center" wrapText="1" indent="2"/>
    </xf>
    <xf numFmtId="0" fontId="24" fillId="0" borderId="13" xfId="0" applyFont="1" applyBorder="1" applyAlignment="1">
      <alignment horizontal="left" vertical="center" wrapText="1" indent="2"/>
    </xf>
    <xf numFmtId="0" fontId="24" fillId="0" borderId="13" xfId="0" applyFont="1" applyBorder="1" applyAlignment="1">
      <alignment horizontal="left" vertical="center" wrapText="1"/>
    </xf>
    <xf numFmtId="0" fontId="38" fillId="0" borderId="13" xfId="39" applyFont="1" applyBorder="1" applyAlignment="1">
      <alignment horizontal="left" vertical="center" wrapText="1"/>
    </xf>
    <xf numFmtId="0" fontId="24" fillId="0" borderId="51" xfId="0" applyFont="1" applyBorder="1" applyAlignment="1">
      <alignment horizontal="left" vertical="center" wrapText="1"/>
    </xf>
    <xf numFmtId="0" fontId="24" fillId="0" borderId="0" xfId="1" applyFont="1" applyAlignment="1">
      <alignment horizontal="center" vertical="center"/>
    </xf>
    <xf numFmtId="0" fontId="24" fillId="0" borderId="0" xfId="1" applyFont="1" applyAlignment="1">
      <alignment horizontal="center" vertical="center" wrapText="1"/>
    </xf>
    <xf numFmtId="0" fontId="24" fillId="0" borderId="0" xfId="0" applyFont="1" applyAlignment="1">
      <alignment horizontal="left" vertical="center" wrapText="1"/>
    </xf>
    <xf numFmtId="0" fontId="23" fillId="24" borderId="0" xfId="39" applyFont="1" applyFill="1" applyAlignment="1">
      <alignment horizontal="center" vertical="center" shrinkToFit="1"/>
    </xf>
    <xf numFmtId="0" fontId="23" fillId="0" borderId="0" xfId="1" applyFont="1"/>
    <xf numFmtId="0" fontId="23" fillId="0" borderId="0" xfId="1" applyFont="1" applyAlignment="1">
      <alignment horizontal="center"/>
    </xf>
    <xf numFmtId="0" fontId="24" fillId="0" borderId="0" xfId="1" applyFont="1" applyAlignment="1">
      <alignment horizontal="center"/>
    </xf>
    <xf numFmtId="0" fontId="23" fillId="0" borderId="0" xfId="53" applyFont="1" applyAlignment="1">
      <alignment horizontal="center" vertical="center" shrinkToFit="1"/>
    </xf>
    <xf numFmtId="0" fontId="24" fillId="24" borderId="17" xfId="52" applyFont="1" applyFill="1" applyBorder="1" applyAlignment="1">
      <alignment vertical="center" wrapText="1"/>
    </xf>
    <xf numFmtId="0" fontId="24" fillId="0" borderId="14" xfId="52" applyFont="1" applyBorder="1" applyAlignment="1">
      <alignment horizontal="left" vertical="center" wrapText="1" indent="2"/>
    </xf>
    <xf numFmtId="0" fontId="24" fillId="0" borderId="13" xfId="52" applyFont="1" applyBorder="1" applyAlignment="1">
      <alignment horizontal="left" vertical="center" wrapText="1" indent="2"/>
    </xf>
    <xf numFmtId="0" fontId="24" fillId="0" borderId="24" xfId="1" applyFont="1" applyBorder="1" applyAlignment="1">
      <alignment horizontal="center" vertical="center"/>
    </xf>
    <xf numFmtId="0" fontId="24" fillId="0" borderId="51" xfId="1" applyFont="1" applyBorder="1" applyAlignment="1">
      <alignment horizontal="center" vertical="center"/>
    </xf>
    <xf numFmtId="0" fontId="24" fillId="0" borderId="15" xfId="52" applyFont="1" applyBorder="1" applyAlignment="1">
      <alignment horizontal="left" vertical="center" wrapText="1"/>
    </xf>
    <xf numFmtId="0" fontId="24" fillId="0" borderId="13" xfId="54" applyFont="1" applyBorder="1" applyAlignment="1">
      <alignment vertical="center" wrapText="1"/>
    </xf>
    <xf numFmtId="0" fontId="24" fillId="0" borderId="15" xfId="54" applyFont="1" applyBorder="1" applyAlignment="1">
      <alignment vertical="center" wrapText="1"/>
    </xf>
    <xf numFmtId="0" fontId="26" fillId="25" borderId="35" xfId="0" applyFont="1" applyFill="1" applyBorder="1" applyAlignment="1">
      <alignment horizontal="center" wrapText="1"/>
    </xf>
    <xf numFmtId="0" fontId="23" fillId="25" borderId="40" xfId="1" applyFont="1" applyFill="1" applyBorder="1"/>
    <xf numFmtId="0" fontId="27" fillId="25" borderId="63" xfId="1" applyFont="1" applyFill="1" applyBorder="1" applyAlignment="1">
      <alignment horizontal="center" vertical="center" wrapText="1"/>
    </xf>
    <xf numFmtId="0" fontId="27" fillId="25" borderId="64" xfId="1" applyFont="1" applyFill="1" applyBorder="1" applyAlignment="1">
      <alignment horizontal="center" vertical="center" wrapText="1"/>
    </xf>
    <xf numFmtId="0" fontId="23" fillId="25" borderId="65" xfId="1" applyFont="1" applyFill="1" applyBorder="1" applyAlignment="1">
      <alignment horizontal="center" vertical="center"/>
    </xf>
    <xf numFmtId="0" fontId="22" fillId="24" borderId="18" xfId="1" applyFont="1" applyFill="1" applyBorder="1" applyAlignment="1">
      <alignment vertical="center"/>
    </xf>
    <xf numFmtId="0" fontId="22" fillId="24" borderId="17" xfId="52" applyFont="1" applyFill="1" applyBorder="1" applyAlignment="1">
      <alignment horizontal="left" vertical="center"/>
    </xf>
    <xf numFmtId="0" fontId="24" fillId="25" borderId="15" xfId="55" applyFont="1" applyFill="1" applyBorder="1" applyAlignment="1">
      <alignment vertical="center" wrapText="1"/>
    </xf>
    <xf numFmtId="0" fontId="24" fillId="25" borderId="19" xfId="1" applyFont="1" applyFill="1" applyBorder="1" applyAlignment="1">
      <alignment horizontal="center" vertical="center"/>
    </xf>
    <xf numFmtId="0" fontId="24" fillId="25" borderId="14" xfId="1" applyFont="1" applyFill="1" applyBorder="1" applyAlignment="1">
      <alignment horizontal="center" vertical="center"/>
    </xf>
    <xf numFmtId="0" fontId="24" fillId="25" borderId="14" xfId="1" applyFont="1" applyFill="1" applyBorder="1" applyAlignment="1">
      <alignment horizontal="center" vertical="center" wrapText="1"/>
    </xf>
    <xf numFmtId="0" fontId="24" fillId="25" borderId="13" xfId="52" applyFont="1" applyFill="1" applyBorder="1" applyAlignment="1">
      <alignment horizontal="left" vertical="center" wrapText="1" indent="2"/>
    </xf>
    <xf numFmtId="0" fontId="24" fillId="25" borderId="15" xfId="52" applyFont="1" applyFill="1" applyBorder="1" applyAlignment="1">
      <alignment horizontal="left" vertical="center" wrapText="1" indent="2"/>
    </xf>
    <xf numFmtId="0" fontId="24" fillId="25" borderId="14" xfId="52" applyFont="1" applyFill="1" applyBorder="1" applyAlignment="1">
      <alignment horizontal="left" vertical="center" wrapText="1" indent="2"/>
    </xf>
    <xf numFmtId="0" fontId="23" fillId="25" borderId="0" xfId="1" applyFont="1" applyFill="1" applyAlignment="1">
      <alignment horizontal="left" vertical="center" wrapText="1"/>
    </xf>
    <xf numFmtId="0" fontId="24" fillId="25" borderId="13" xfId="52" applyFont="1" applyFill="1" applyBorder="1" applyAlignment="1">
      <alignment vertical="center" wrapText="1"/>
    </xf>
    <xf numFmtId="0" fontId="24" fillId="25" borderId="15" xfId="52" applyFont="1" applyFill="1" applyBorder="1" applyAlignment="1">
      <alignment vertical="center" wrapText="1"/>
    </xf>
    <xf numFmtId="0" fontId="24" fillId="25" borderId="13" xfId="55" applyFont="1" applyFill="1" applyBorder="1" applyAlignment="1">
      <alignment vertical="center" wrapText="1"/>
    </xf>
    <xf numFmtId="0" fontId="24" fillId="25" borderId="51" xfId="1" applyFont="1" applyFill="1" applyBorder="1" applyAlignment="1">
      <alignment horizontal="center" vertical="center" wrapText="1"/>
    </xf>
    <xf numFmtId="0" fontId="24" fillId="0" borderId="15" xfId="52" applyFont="1" applyBorder="1" applyAlignment="1">
      <alignment horizontal="left" vertical="center" wrapText="1" indent="2"/>
    </xf>
    <xf numFmtId="0" fontId="24" fillId="0" borderId="13" xfId="56" applyFont="1" applyBorder="1" applyAlignment="1">
      <alignment vertical="center" wrapText="1"/>
    </xf>
    <xf numFmtId="0" fontId="23" fillId="24" borderId="72" xfId="1" applyFont="1" applyFill="1" applyBorder="1" applyAlignment="1">
      <alignment vertical="center" wrapText="1"/>
    </xf>
    <xf numFmtId="0" fontId="24" fillId="0" borderId="13" xfId="1" applyFont="1" applyBorder="1" applyAlignment="1">
      <alignment horizontal="center" vertical="center"/>
    </xf>
    <xf numFmtId="0" fontId="40" fillId="0" borderId="13" xfId="39" applyFont="1" applyBorder="1" applyAlignment="1">
      <alignment horizontal="left" vertical="center" wrapText="1"/>
    </xf>
    <xf numFmtId="0" fontId="40" fillId="0" borderId="13" xfId="1" applyFont="1" applyBorder="1" applyAlignment="1">
      <alignment horizontal="center" vertical="center"/>
    </xf>
    <xf numFmtId="0" fontId="24" fillId="0" borderId="51" xfId="39" applyFont="1" applyBorder="1" applyAlignment="1">
      <alignment horizontal="left" vertical="center" wrapText="1"/>
    </xf>
    <xf numFmtId="0" fontId="23" fillId="24" borderId="71" xfId="1" applyFont="1" applyFill="1" applyBorder="1" applyAlignment="1">
      <alignment vertical="center" wrapText="1"/>
    </xf>
    <xf numFmtId="0" fontId="24" fillId="0" borderId="14" xfId="52" applyFont="1" applyBorder="1" applyAlignment="1">
      <alignment horizontal="left" vertical="center" wrapText="1"/>
    </xf>
    <xf numFmtId="0" fontId="24" fillId="0" borderId="15" xfId="56" applyFont="1" applyBorder="1" applyAlignment="1">
      <alignment vertical="center" wrapText="1"/>
    </xf>
    <xf numFmtId="0" fontId="24" fillId="24" borderId="77" xfId="1" applyFont="1" applyFill="1" applyBorder="1" applyAlignment="1">
      <alignment horizontal="center" vertical="center"/>
    </xf>
    <xf numFmtId="0" fontId="24" fillId="24" borderId="17" xfId="56" applyFont="1" applyFill="1" applyBorder="1" applyAlignment="1">
      <alignment horizontal="left" vertical="center" wrapText="1"/>
    </xf>
    <xf numFmtId="0" fontId="23" fillId="24" borderId="76" xfId="1" applyFont="1" applyFill="1" applyBorder="1" applyAlignment="1">
      <alignment vertical="center" wrapText="1"/>
    </xf>
    <xf numFmtId="0" fontId="24" fillId="0" borderId="14" xfId="56" applyFont="1" applyBorder="1" applyAlignment="1">
      <alignment horizontal="left" vertical="center" wrapText="1" indent="2"/>
    </xf>
    <xf numFmtId="0" fontId="24" fillId="0" borderId="13" xfId="56" applyFont="1" applyBorder="1" applyAlignment="1">
      <alignment horizontal="left" vertical="center" wrapText="1" indent="2"/>
    </xf>
    <xf numFmtId="0" fontId="24" fillId="26" borderId="14" xfId="52" applyFont="1" applyFill="1" applyBorder="1" applyAlignment="1">
      <alignment vertical="center" wrapText="1"/>
    </xf>
    <xf numFmtId="0" fontId="24" fillId="26" borderId="13" xfId="1" applyFont="1" applyFill="1" applyBorder="1" applyAlignment="1">
      <alignment horizontal="center" vertical="center"/>
    </xf>
    <xf numFmtId="0" fontId="24" fillId="26" borderId="13" xfId="1" applyFont="1" applyFill="1" applyBorder="1" applyAlignment="1">
      <alignment horizontal="center" vertical="center" wrapText="1"/>
    </xf>
    <xf numFmtId="0" fontId="24" fillId="0" borderId="14" xfId="52" applyFont="1" applyBorder="1" applyAlignment="1">
      <alignment vertical="center" wrapText="1"/>
    </xf>
    <xf numFmtId="0" fontId="24" fillId="0" borderId="51" xfId="52" applyFont="1" applyBorder="1" applyAlignment="1">
      <alignment horizontal="left" vertical="center" wrapText="1" indent="2"/>
    </xf>
    <xf numFmtId="0" fontId="24" fillId="24" borderId="17" xfId="0" applyFont="1" applyFill="1" applyBorder="1" applyAlignment="1">
      <alignment vertical="center" wrapText="1"/>
    </xf>
    <xf numFmtId="0" fontId="24" fillId="0" borderId="51" xfId="0" applyFont="1" applyBorder="1" applyAlignment="1">
      <alignment horizontal="left" vertical="center" wrapText="1" indent="2"/>
    </xf>
    <xf numFmtId="0" fontId="24" fillId="0" borderId="15" xfId="0" applyFont="1" applyBorder="1" applyAlignment="1">
      <alignment horizontal="left" vertical="center" wrapText="1" indent="2"/>
    </xf>
    <xf numFmtId="0" fontId="24" fillId="0" borderId="15" xfId="0" applyFont="1" applyBorder="1" applyAlignment="1">
      <alignment vertical="center" wrapText="1"/>
    </xf>
    <xf numFmtId="0" fontId="24" fillId="0" borderId="79" xfId="1" applyFont="1" applyBorder="1" applyAlignment="1">
      <alignment horizontal="center" vertical="center" wrapText="1"/>
    </xf>
    <xf numFmtId="0" fontId="24" fillId="0" borderId="80" xfId="0" applyFont="1" applyBorder="1" applyAlignment="1">
      <alignment horizontal="left" vertical="center" wrapText="1"/>
    </xf>
    <xf numFmtId="0" fontId="24" fillId="26" borderId="13" xfId="52" applyFont="1" applyFill="1" applyBorder="1" applyAlignment="1">
      <alignment horizontal="left" vertical="center" wrapText="1"/>
    </xf>
    <xf numFmtId="0" fontId="24" fillId="0" borderId="15" xfId="0" applyFont="1" applyBorder="1" applyAlignment="1">
      <alignment horizontal="left" vertical="center" wrapText="1"/>
    </xf>
    <xf numFmtId="0" fontId="24" fillId="0" borderId="13" xfId="53" applyFont="1" applyBorder="1" applyAlignment="1">
      <alignment vertical="center" wrapText="1"/>
    </xf>
    <xf numFmtId="0" fontId="24" fillId="24" borderId="17" xfId="53" applyFont="1" applyFill="1" applyBorder="1" applyAlignment="1">
      <alignment vertical="center" wrapText="1"/>
    </xf>
    <xf numFmtId="0" fontId="24" fillId="0" borderId="13" xfId="53" applyFont="1" applyBorder="1" applyAlignment="1">
      <alignment horizontal="left" vertical="center" wrapText="1" indent="2"/>
    </xf>
    <xf numFmtId="0" fontId="24" fillId="0" borderId="13" xfId="53" applyFont="1" applyBorder="1" applyAlignment="1">
      <alignment horizontal="left" vertical="center" wrapText="1"/>
    </xf>
    <xf numFmtId="0" fontId="24" fillId="0" borderId="51" xfId="1" applyFont="1" applyBorder="1" applyAlignment="1">
      <alignment horizontal="center" vertical="center" wrapText="1"/>
    </xf>
    <xf numFmtId="0" fontId="24" fillId="0" borderId="15" xfId="53" applyFont="1" applyBorder="1" applyAlignment="1">
      <alignment vertical="center" wrapText="1"/>
    </xf>
    <xf numFmtId="0" fontId="24" fillId="0" borderId="14" xfId="53" applyFont="1" applyBorder="1" applyAlignment="1">
      <alignment horizontal="left" vertical="center" wrapText="1" indent="2"/>
    </xf>
    <xf numFmtId="0" fontId="24" fillId="0" borderId="80" xfId="0" applyFont="1" applyBorder="1" applyAlignment="1">
      <alignment horizontal="left" vertical="center" wrapText="1" indent="2"/>
    </xf>
    <xf numFmtId="0" fontId="24" fillId="0" borderId="15" xfId="53" applyFont="1" applyBorder="1" applyAlignment="1">
      <alignment horizontal="left" vertical="center" wrapText="1"/>
    </xf>
    <xf numFmtId="0" fontId="24" fillId="25" borderId="0" xfId="1" applyFont="1" applyFill="1" applyAlignment="1">
      <alignment horizontal="center" vertical="center"/>
    </xf>
    <xf numFmtId="0" fontId="24" fillId="25" borderId="0" xfId="1" applyFont="1" applyFill="1" applyAlignment="1">
      <alignment horizontal="center" vertical="center" wrapText="1"/>
    </xf>
    <xf numFmtId="0" fontId="24" fillId="25" borderId="0" xfId="53" applyFont="1" applyFill="1" applyAlignment="1">
      <alignment vertical="center" wrapText="1"/>
    </xf>
    <xf numFmtId="0" fontId="23" fillId="25" borderId="0" xfId="53" applyFont="1" applyFill="1" applyAlignment="1">
      <alignment horizontal="center" vertical="center" shrinkToFit="1"/>
    </xf>
    <xf numFmtId="0" fontId="26" fillId="25" borderId="0" xfId="0" applyFont="1" applyFill="1" applyAlignment="1">
      <alignment horizontal="center" wrapText="1"/>
    </xf>
    <xf numFmtId="0" fontId="23" fillId="25" borderId="0" xfId="1" applyFont="1" applyFill="1"/>
    <xf numFmtId="0" fontId="23" fillId="25" borderId="0" xfId="1" applyFont="1" applyFill="1" applyAlignment="1">
      <alignment horizontal="center"/>
    </xf>
    <xf numFmtId="0" fontId="24" fillId="25" borderId="0" xfId="1" applyFont="1" applyFill="1" applyAlignment="1">
      <alignment horizontal="center"/>
    </xf>
    <xf numFmtId="0" fontId="0" fillId="25" borderId="0" xfId="0" applyFill="1"/>
    <xf numFmtId="0" fontId="0" fillId="25" borderId="0" xfId="0" applyFill="1" applyAlignment="1">
      <alignment vertical="center"/>
    </xf>
    <xf numFmtId="0" fontId="23" fillId="24" borderId="14" xfId="53" applyFont="1" applyFill="1" applyBorder="1" applyAlignment="1" applyProtection="1">
      <alignment horizontal="center" vertical="center" shrinkToFit="1"/>
      <protection locked="0"/>
    </xf>
    <xf numFmtId="0" fontId="26" fillId="0" borderId="30" xfId="0" applyFont="1" applyBorder="1" applyAlignment="1" applyProtection="1">
      <alignment horizontal="center" wrapText="1"/>
      <protection locked="0"/>
    </xf>
    <xf numFmtId="0" fontId="23" fillId="0" borderId="22" xfId="1" applyFont="1" applyBorder="1" applyProtection="1">
      <protection locked="0"/>
    </xf>
    <xf numFmtId="0" fontId="23" fillId="0" borderId="26" xfId="1" applyFont="1" applyBorder="1" applyAlignment="1" applyProtection="1">
      <alignment horizontal="center"/>
      <protection locked="0"/>
    </xf>
    <xf numFmtId="0" fontId="24" fillId="0" borderId="26" xfId="1" applyFont="1" applyBorder="1" applyAlignment="1" applyProtection="1">
      <alignment horizontal="center"/>
      <protection locked="0"/>
    </xf>
    <xf numFmtId="0" fontId="23" fillId="0" borderId="36" xfId="1" applyFont="1" applyBorder="1" applyAlignment="1" applyProtection="1">
      <alignment horizontal="center"/>
      <protection locked="0"/>
    </xf>
    <xf numFmtId="0" fontId="23" fillId="24" borderId="13" xfId="53" applyFont="1" applyFill="1" applyBorder="1" applyAlignment="1" applyProtection="1">
      <alignment horizontal="center" vertical="center" shrinkToFit="1"/>
      <protection locked="0"/>
    </xf>
    <xf numFmtId="0" fontId="23" fillId="24" borderId="15" xfId="53" applyFont="1" applyFill="1" applyBorder="1" applyAlignment="1" applyProtection="1">
      <alignment horizontal="center" vertical="center" shrinkToFit="1"/>
      <protection locked="0"/>
    </xf>
    <xf numFmtId="0" fontId="23" fillId="0" borderId="21" xfId="1" applyFont="1" applyBorder="1" applyProtection="1">
      <protection locked="0"/>
    </xf>
    <xf numFmtId="0" fontId="24" fillId="0" borderId="21" xfId="1" applyFont="1" applyBorder="1" applyProtection="1">
      <protection locked="0"/>
    </xf>
    <xf numFmtId="0" fontId="26" fillId="0" borderId="35" xfId="0" applyFont="1" applyBorder="1" applyAlignment="1" applyProtection="1">
      <alignment horizontal="center" wrapText="1"/>
      <protection locked="0"/>
    </xf>
    <xf numFmtId="0" fontId="24" fillId="0" borderId="26" xfId="1" applyFont="1" applyBorder="1" applyProtection="1">
      <protection locked="0"/>
    </xf>
    <xf numFmtId="0" fontId="23" fillId="0" borderId="21" xfId="1" applyFont="1" applyBorder="1" applyAlignment="1" applyProtection="1">
      <alignment horizontal="center"/>
      <protection locked="0"/>
    </xf>
    <xf numFmtId="0" fontId="24" fillId="0" borderId="21" xfId="1" applyFont="1" applyBorder="1" applyAlignment="1" applyProtection="1">
      <alignment horizontal="center"/>
      <protection locked="0"/>
    </xf>
    <xf numFmtId="0" fontId="23" fillId="24" borderId="13" xfId="39" applyFont="1" applyFill="1" applyBorder="1" applyAlignment="1" applyProtection="1">
      <alignment horizontal="center" vertical="center" shrinkToFit="1"/>
      <protection locked="0"/>
    </xf>
    <xf numFmtId="0" fontId="23" fillId="0" borderId="25" xfId="1" applyFont="1" applyBorder="1" applyAlignment="1" applyProtection="1">
      <alignment horizontal="center"/>
      <protection locked="0"/>
    </xf>
    <xf numFmtId="0" fontId="24" fillId="0" borderId="25" xfId="1" applyFont="1" applyBorder="1" applyAlignment="1" applyProtection="1">
      <alignment horizontal="center"/>
      <protection locked="0"/>
    </xf>
    <xf numFmtId="0" fontId="42" fillId="24" borderId="13" xfId="39" applyFont="1" applyFill="1" applyBorder="1" applyAlignment="1" applyProtection="1">
      <alignment horizontal="center" vertical="center" shrinkToFit="1"/>
      <protection locked="0"/>
    </xf>
    <xf numFmtId="0" fontId="26" fillId="0" borderId="39" xfId="0" applyFont="1" applyBorder="1" applyAlignment="1" applyProtection="1">
      <alignment horizontal="center" wrapText="1"/>
      <protection locked="0"/>
    </xf>
    <xf numFmtId="0" fontId="23" fillId="0" borderId="25" xfId="1" applyFont="1" applyBorder="1" applyProtection="1">
      <protection locked="0"/>
    </xf>
    <xf numFmtId="0" fontId="42" fillId="0" borderId="17" xfId="1" applyFont="1" applyBorder="1" applyAlignment="1" applyProtection="1">
      <alignment horizontal="left" vertical="center" wrapText="1"/>
      <protection locked="0"/>
    </xf>
    <xf numFmtId="0" fontId="23" fillId="24" borderId="80" xfId="53" applyFont="1" applyFill="1" applyBorder="1" applyAlignment="1" applyProtection="1">
      <alignment horizontal="center" vertical="center" shrinkToFit="1"/>
      <protection locked="0"/>
    </xf>
    <xf numFmtId="0" fontId="26" fillId="0" borderId="86" xfId="0" applyFont="1" applyBorder="1" applyAlignment="1" applyProtection="1">
      <alignment horizontal="center" wrapText="1"/>
      <protection locked="0"/>
    </xf>
    <xf numFmtId="0" fontId="24" fillId="0" borderId="87" xfId="1" applyFont="1" applyBorder="1" applyProtection="1">
      <protection locked="0"/>
    </xf>
    <xf numFmtId="0" fontId="23" fillId="0" borderId="87" xfId="1" applyFont="1" applyBorder="1" applyAlignment="1" applyProtection="1">
      <alignment horizontal="center"/>
      <protection locked="0"/>
    </xf>
    <xf numFmtId="0" fontId="24" fillId="0" borderId="87" xfId="1" applyFont="1" applyBorder="1" applyAlignment="1" applyProtection="1">
      <alignment horizontal="center"/>
      <protection locked="0"/>
    </xf>
    <xf numFmtId="0" fontId="23" fillId="0" borderId="85" xfId="1" applyFont="1" applyBorder="1" applyAlignment="1" applyProtection="1">
      <alignment horizontal="center"/>
      <protection locked="0"/>
    </xf>
    <xf numFmtId="0" fontId="23" fillId="0" borderId="31" xfId="1" applyFont="1" applyBorder="1" applyAlignment="1" applyProtection="1">
      <alignment horizontal="center"/>
      <protection locked="0"/>
    </xf>
    <xf numFmtId="0" fontId="24" fillId="0" borderId="25" xfId="1" applyFont="1" applyBorder="1" applyProtection="1">
      <protection locked="0"/>
    </xf>
    <xf numFmtId="0" fontId="23" fillId="0" borderId="37" xfId="1" applyFont="1" applyBorder="1" applyAlignment="1" applyProtection="1">
      <alignment horizontal="center"/>
      <protection locked="0"/>
    </xf>
    <xf numFmtId="0" fontId="24" fillId="0" borderId="37" xfId="1" applyFont="1" applyBorder="1" applyAlignment="1" applyProtection="1">
      <alignment horizontal="center"/>
      <protection locked="0"/>
    </xf>
    <xf numFmtId="0" fontId="23" fillId="0" borderId="38" xfId="1" applyFont="1" applyBorder="1" applyAlignment="1" applyProtection="1">
      <alignment horizontal="center"/>
      <protection locked="0"/>
    </xf>
    <xf numFmtId="0" fontId="23" fillId="0" borderId="26" xfId="1" applyFont="1" applyBorder="1" applyProtection="1">
      <protection locked="0"/>
    </xf>
    <xf numFmtId="0" fontId="26" fillId="25" borderId="30" xfId="0" applyFont="1" applyFill="1" applyBorder="1" applyAlignment="1" applyProtection="1">
      <alignment horizontal="center" wrapText="1"/>
      <protection locked="0"/>
    </xf>
    <xf numFmtId="0" fontId="23" fillId="25" borderId="21" xfId="1" applyFont="1" applyFill="1" applyBorder="1" applyProtection="1">
      <protection locked="0"/>
    </xf>
    <xf numFmtId="0" fontId="23" fillId="25" borderId="26" xfId="1" applyFont="1" applyFill="1" applyBorder="1" applyAlignment="1" applyProtection="1">
      <alignment horizontal="center"/>
      <protection locked="0"/>
    </xf>
    <xf numFmtId="0" fontId="24" fillId="25" borderId="26" xfId="1" applyFont="1" applyFill="1" applyBorder="1" applyAlignment="1" applyProtection="1">
      <alignment horizontal="center"/>
      <protection locked="0"/>
    </xf>
    <xf numFmtId="0" fontId="23" fillId="25" borderId="36" xfId="1" applyFont="1" applyFill="1" applyBorder="1" applyAlignment="1" applyProtection="1">
      <alignment horizontal="center"/>
      <protection locked="0"/>
    </xf>
    <xf numFmtId="0" fontId="24" fillId="25" borderId="21" xfId="1" applyFont="1" applyFill="1" applyBorder="1" applyProtection="1">
      <protection locked="0"/>
    </xf>
    <xf numFmtId="0" fontId="23" fillId="25" borderId="31" xfId="1" applyFont="1" applyFill="1" applyBorder="1" applyAlignment="1" applyProtection="1">
      <alignment horizontal="center"/>
      <protection locked="0"/>
    </xf>
    <xf numFmtId="0" fontId="26" fillId="25" borderId="39" xfId="0" applyFont="1" applyFill="1" applyBorder="1" applyAlignment="1" applyProtection="1">
      <alignment horizontal="center" wrapText="1"/>
      <protection locked="0"/>
    </xf>
    <xf numFmtId="0" fontId="24" fillId="25" borderId="25" xfId="1" applyFont="1" applyFill="1" applyBorder="1" applyProtection="1">
      <protection locked="0"/>
    </xf>
    <xf numFmtId="0" fontId="24" fillId="25" borderId="21" xfId="1" applyFont="1" applyFill="1" applyBorder="1" applyAlignment="1" applyProtection="1">
      <alignment horizontal="center"/>
      <protection locked="0"/>
    </xf>
    <xf numFmtId="0" fontId="23" fillId="25" borderId="38" xfId="1" applyFont="1" applyFill="1" applyBorder="1" applyAlignment="1" applyProtection="1">
      <alignment horizontal="center"/>
      <protection locked="0"/>
    </xf>
    <xf numFmtId="0" fontId="23" fillId="25" borderId="37" xfId="1" applyFont="1" applyFill="1" applyBorder="1" applyAlignment="1" applyProtection="1">
      <alignment horizontal="center"/>
      <protection locked="0"/>
    </xf>
    <xf numFmtId="0" fontId="24" fillId="25" borderId="37" xfId="1" applyFont="1" applyFill="1" applyBorder="1" applyAlignment="1" applyProtection="1">
      <alignment horizontal="center"/>
      <protection locked="0"/>
    </xf>
    <xf numFmtId="0" fontId="23" fillId="25" borderId="21" xfId="1" applyFont="1" applyFill="1" applyBorder="1" applyAlignment="1" applyProtection="1">
      <alignment horizontal="center"/>
      <protection locked="0"/>
    </xf>
    <xf numFmtId="0" fontId="23" fillId="24" borderId="51" xfId="53" applyFont="1" applyFill="1" applyBorder="1" applyAlignment="1" applyProtection="1">
      <alignment horizontal="center" vertical="center" shrinkToFit="1"/>
      <protection locked="0"/>
    </xf>
    <xf numFmtId="0" fontId="24" fillId="0" borderId="88" xfId="1" applyFont="1" applyBorder="1" applyProtection="1">
      <protection locked="0"/>
    </xf>
    <xf numFmtId="0" fontId="23" fillId="0" borderId="89" xfId="1" applyFont="1" applyBorder="1" applyAlignment="1" applyProtection="1">
      <alignment horizontal="center"/>
      <protection locked="0"/>
    </xf>
    <xf numFmtId="0" fontId="24" fillId="0" borderId="89" xfId="1" applyFont="1" applyBorder="1" applyAlignment="1" applyProtection="1">
      <alignment horizontal="center"/>
      <protection locked="0"/>
    </xf>
    <xf numFmtId="0" fontId="24" fillId="0" borderId="22" xfId="1" applyFont="1" applyBorder="1" applyProtection="1">
      <protection locked="0"/>
    </xf>
    <xf numFmtId="0" fontId="41" fillId="24" borderId="13" xfId="39" applyFont="1" applyFill="1" applyBorder="1" applyAlignment="1" applyProtection="1">
      <alignment horizontal="center" vertical="center" shrinkToFit="1"/>
      <protection locked="0"/>
    </xf>
    <xf numFmtId="0" fontId="23" fillId="0" borderId="88" xfId="1" applyFont="1" applyBorder="1" applyProtection="1">
      <protection locked="0"/>
    </xf>
    <xf numFmtId="0" fontId="23" fillId="0" borderId="40" xfId="1" applyFont="1" applyBorder="1" applyProtection="1">
      <protection locked="0"/>
    </xf>
    <xf numFmtId="0" fontId="26" fillId="0" borderId="27" xfId="0" applyFont="1" applyBorder="1" applyAlignment="1" applyProtection="1">
      <alignment horizontal="center" wrapText="1"/>
      <protection locked="0"/>
    </xf>
    <xf numFmtId="0" fontId="23" fillId="0" borderId="28" xfId="1" applyFont="1" applyBorder="1" applyProtection="1">
      <protection locked="0"/>
    </xf>
    <xf numFmtId="0" fontId="23" fillId="0" borderId="28" xfId="1" applyFont="1" applyBorder="1" applyAlignment="1" applyProtection="1">
      <alignment horizontal="center"/>
      <protection locked="0"/>
    </xf>
    <xf numFmtId="0" fontId="24" fillId="0" borderId="28" xfId="1" applyFont="1" applyBorder="1" applyAlignment="1" applyProtection="1">
      <alignment horizontal="center"/>
      <protection locked="0"/>
    </xf>
    <xf numFmtId="0" fontId="23" fillId="0" borderId="29" xfId="1" applyFont="1" applyBorder="1" applyAlignment="1" applyProtection="1">
      <alignment horizontal="center"/>
      <protection locked="0"/>
    </xf>
    <xf numFmtId="0" fontId="26" fillId="0" borderId="32" xfId="0" applyFont="1" applyBorder="1" applyAlignment="1" applyProtection="1">
      <alignment horizontal="center" wrapText="1"/>
      <protection locked="0"/>
    </xf>
    <xf numFmtId="0" fontId="23" fillId="24" borderId="79" xfId="53" applyFont="1" applyFill="1" applyBorder="1" applyAlignment="1" applyProtection="1">
      <alignment horizontal="center" vertical="center" shrinkToFit="1"/>
      <protection locked="0"/>
    </xf>
    <xf numFmtId="0" fontId="26" fillId="0" borderId="81" xfId="0" applyFont="1" applyBorder="1" applyAlignment="1" applyProtection="1">
      <alignment horizontal="center" wrapText="1"/>
      <protection locked="0"/>
    </xf>
    <xf numFmtId="0" fontId="24" fillId="0" borderId="82" xfId="1" applyFont="1" applyBorder="1" applyProtection="1">
      <protection locked="0"/>
    </xf>
    <xf numFmtId="0" fontId="23" fillId="0" borderId="82" xfId="1" applyFont="1" applyBorder="1" applyAlignment="1" applyProtection="1">
      <alignment horizontal="center"/>
      <protection locked="0"/>
    </xf>
    <xf numFmtId="0" fontId="24" fillId="0" borderId="82" xfId="1" applyFont="1" applyBorder="1" applyAlignment="1" applyProtection="1">
      <alignment horizontal="center"/>
      <protection locked="0"/>
    </xf>
    <xf numFmtId="0" fontId="24" fillId="0" borderId="45" xfId="1" applyFont="1" applyBorder="1" applyProtection="1">
      <protection locked="0"/>
    </xf>
    <xf numFmtId="0" fontId="23" fillId="0" borderId="33" xfId="1" applyFont="1" applyBorder="1" applyAlignment="1" applyProtection="1">
      <alignment horizontal="center"/>
      <protection locked="0"/>
    </xf>
    <xf numFmtId="0" fontId="24" fillId="0" borderId="33" xfId="1" applyFont="1" applyBorder="1" applyAlignment="1" applyProtection="1">
      <alignment horizontal="center"/>
      <protection locked="0"/>
    </xf>
    <xf numFmtId="0" fontId="23" fillId="0" borderId="34" xfId="1" applyFont="1" applyBorder="1" applyAlignment="1" applyProtection="1">
      <alignment horizontal="center"/>
      <protection locked="0"/>
    </xf>
    <xf numFmtId="0" fontId="23" fillId="24" borderId="14" xfId="53" applyFont="1" applyFill="1" applyBorder="1" applyAlignment="1">
      <alignment horizontal="center" vertical="center" shrinkToFit="1"/>
    </xf>
    <xf numFmtId="0" fontId="24" fillId="0" borderId="13" xfId="1" applyFont="1" applyBorder="1" applyAlignment="1">
      <alignment horizontal="center" vertical="center" wrapText="1"/>
    </xf>
    <xf numFmtId="0" fontId="26" fillId="0" borderId="39" xfId="0" applyFont="1" applyBorder="1" applyAlignment="1">
      <alignment horizontal="center" wrapText="1"/>
    </xf>
    <xf numFmtId="0" fontId="23" fillId="0" borderId="25" xfId="1" applyFont="1" applyBorder="1"/>
    <xf numFmtId="0" fontId="23" fillId="0" borderId="25" xfId="1" applyFont="1" applyBorder="1" applyAlignment="1">
      <alignment horizontal="center"/>
    </xf>
    <xf numFmtId="0" fontId="24" fillId="0" borderId="25" xfId="1" applyFont="1" applyBorder="1" applyAlignment="1">
      <alignment horizontal="center"/>
    </xf>
    <xf numFmtId="0" fontId="22" fillId="24" borderId="71" xfId="1" applyFont="1" applyFill="1" applyBorder="1" applyAlignment="1">
      <alignment vertical="center"/>
    </xf>
    <xf numFmtId="0" fontId="22" fillId="24" borderId="17" xfId="1" applyFont="1" applyFill="1" applyBorder="1" applyAlignment="1">
      <alignment vertical="center"/>
    </xf>
    <xf numFmtId="0" fontId="24" fillId="0" borderId="14" xfId="53" applyFont="1" applyBorder="1" applyAlignment="1">
      <alignment vertical="center" wrapText="1"/>
    </xf>
    <xf numFmtId="0" fontId="23" fillId="0" borderId="26" xfId="1" applyFont="1" applyBorder="1"/>
    <xf numFmtId="0" fontId="0" fillId="0" borderId="51" xfId="0" applyBorder="1"/>
    <xf numFmtId="0" fontId="0" fillId="0" borderId="13" xfId="0" applyBorder="1"/>
    <xf numFmtId="0" fontId="23" fillId="0" borderId="84" xfId="1" applyFont="1" applyBorder="1" applyAlignment="1" applyProtection="1">
      <alignment horizontal="center"/>
      <protection locked="0"/>
    </xf>
    <xf numFmtId="0" fontId="23" fillId="0" borderId="13" xfId="1" applyFont="1" applyBorder="1" applyAlignment="1" applyProtection="1">
      <alignment horizontal="left" vertical="center" wrapText="1"/>
      <protection locked="0"/>
    </xf>
    <xf numFmtId="0" fontId="26" fillId="0" borderId="0" xfId="0" applyFont="1" applyAlignment="1" applyProtection="1">
      <alignment horizontal="center" wrapText="1"/>
      <protection locked="0"/>
    </xf>
    <xf numFmtId="0" fontId="0" fillId="0" borderId="0" xfId="0" applyAlignment="1">
      <alignment horizontal="center" vertical="center"/>
    </xf>
    <xf numFmtId="0" fontId="36" fillId="27" borderId="46" xfId="1" applyFont="1" applyFill="1" applyBorder="1" applyAlignment="1">
      <alignment horizontal="center" vertical="center" wrapText="1"/>
    </xf>
    <xf numFmtId="0" fontId="36" fillId="27" borderId="47" xfId="1" applyFont="1" applyFill="1" applyBorder="1" applyAlignment="1">
      <alignment horizontal="center" vertical="center" wrapText="1"/>
    </xf>
    <xf numFmtId="0" fontId="0" fillId="0" borderId="60" xfId="0" applyBorder="1" applyAlignment="1">
      <alignment horizontal="center"/>
    </xf>
  </cellXfs>
  <cellStyles count="59">
    <cellStyle name="20% - Accent1 2" xfId="2" xr:uid="{00000000-0005-0000-0000-000000000000}"/>
    <cellStyle name="20% - Accent2 2" xfId="3" xr:uid="{00000000-0005-0000-0000-000001000000}"/>
    <cellStyle name="20% - Accent3 2" xfId="4" xr:uid="{00000000-0005-0000-0000-000002000000}"/>
    <cellStyle name="20% - Accent4 2" xfId="5" xr:uid="{00000000-0005-0000-0000-000003000000}"/>
    <cellStyle name="20% - Accent5 2" xfId="6" xr:uid="{00000000-0005-0000-0000-000004000000}"/>
    <cellStyle name="20% - Accent6 2" xfId="7" xr:uid="{00000000-0005-0000-0000-000005000000}"/>
    <cellStyle name="40% - Accent1 2" xfId="8" xr:uid="{00000000-0005-0000-0000-000006000000}"/>
    <cellStyle name="40% - Accent2 2" xfId="9" xr:uid="{00000000-0005-0000-0000-000007000000}"/>
    <cellStyle name="40% - Accent3 2" xfId="10" xr:uid="{00000000-0005-0000-0000-000008000000}"/>
    <cellStyle name="40% - Accent4 2" xfId="11" xr:uid="{00000000-0005-0000-0000-000009000000}"/>
    <cellStyle name="40% - Accent5 2" xfId="12" xr:uid="{00000000-0005-0000-0000-00000A000000}"/>
    <cellStyle name="40% - Accent6 2" xfId="13" xr:uid="{00000000-0005-0000-0000-00000B000000}"/>
    <cellStyle name="60% - Accent1 2" xfId="14" xr:uid="{00000000-0005-0000-0000-00000C000000}"/>
    <cellStyle name="60% - Accent2 2" xfId="15" xr:uid="{00000000-0005-0000-0000-00000D000000}"/>
    <cellStyle name="60% - Accent3 2" xfId="16" xr:uid="{00000000-0005-0000-0000-00000E000000}"/>
    <cellStyle name="60% - Accent4 2" xfId="17" xr:uid="{00000000-0005-0000-0000-00000F000000}"/>
    <cellStyle name="60% - Accent5 2" xfId="18" xr:uid="{00000000-0005-0000-0000-000010000000}"/>
    <cellStyle name="60% - Accent6 2" xfId="19" xr:uid="{00000000-0005-0000-0000-000011000000}"/>
    <cellStyle name="Accent1 2" xfId="20" xr:uid="{00000000-0005-0000-0000-000012000000}"/>
    <cellStyle name="Accent2 2" xfId="21" xr:uid="{00000000-0005-0000-0000-000013000000}"/>
    <cellStyle name="Accent3 2" xfId="22" xr:uid="{00000000-0005-0000-0000-000014000000}"/>
    <cellStyle name="Accent4 2" xfId="23" xr:uid="{00000000-0005-0000-0000-000015000000}"/>
    <cellStyle name="Accent5 2" xfId="24" xr:uid="{00000000-0005-0000-0000-000016000000}"/>
    <cellStyle name="Accent6 2" xfId="25" xr:uid="{00000000-0005-0000-0000-000017000000}"/>
    <cellStyle name="Bad 2" xfId="26" xr:uid="{00000000-0005-0000-0000-000018000000}"/>
    <cellStyle name="Calculation 2" xfId="27" xr:uid="{00000000-0005-0000-0000-000019000000}"/>
    <cellStyle name="Calculation 3" xfId="50" xr:uid="{00000000-0005-0000-0000-00001A000000}"/>
    <cellStyle name="Check Cell 2" xfId="28" xr:uid="{00000000-0005-0000-0000-00001B000000}"/>
    <cellStyle name="Explanatory Text 2" xfId="29" xr:uid="{00000000-0005-0000-0000-00001C000000}"/>
    <cellStyle name="Good 2" xfId="30" xr:uid="{00000000-0005-0000-0000-00001D000000}"/>
    <cellStyle name="Heading 1 2" xfId="31" xr:uid="{00000000-0005-0000-0000-00001E000000}"/>
    <cellStyle name="Heading 2 2" xfId="32" xr:uid="{00000000-0005-0000-0000-00001F000000}"/>
    <cellStyle name="Heading 3 2" xfId="33" xr:uid="{00000000-0005-0000-0000-000020000000}"/>
    <cellStyle name="Heading 4 2" xfId="34" xr:uid="{00000000-0005-0000-0000-000021000000}"/>
    <cellStyle name="Input 2" xfId="35" xr:uid="{00000000-0005-0000-0000-000022000000}"/>
    <cellStyle name="Input 3" xfId="51" xr:uid="{00000000-0005-0000-0000-000023000000}"/>
    <cellStyle name="Linked Cell 2" xfId="36" xr:uid="{00000000-0005-0000-0000-000024000000}"/>
    <cellStyle name="Neutral 2" xfId="37" xr:uid="{00000000-0005-0000-0000-000025000000}"/>
    <cellStyle name="Normal" xfId="0" builtinId="0"/>
    <cellStyle name="Normal 2" xfId="38" xr:uid="{00000000-0005-0000-0000-000027000000}"/>
    <cellStyle name="Normal 3" xfId="39" xr:uid="{00000000-0005-0000-0000-000028000000}"/>
    <cellStyle name="Normal 3 2" xfId="53" xr:uid="{00000000-0005-0000-0000-000029000000}"/>
    <cellStyle name="Normal 3 64" xfId="54" xr:uid="{00000000-0005-0000-0000-00002A000000}"/>
    <cellStyle name="Normal 3 64 2" xfId="57" xr:uid="{00000000-0005-0000-0000-00002B000000}"/>
    <cellStyle name="Normal 4" xfId="1" xr:uid="{00000000-0005-0000-0000-00002C000000}"/>
    <cellStyle name="Normal 5" xfId="52" xr:uid="{00000000-0005-0000-0000-00002D000000}"/>
    <cellStyle name="Normal 5 2" xfId="58" xr:uid="{EB701D83-FCD7-4C05-9FF0-8BDA27B7D32D}"/>
    <cellStyle name="Normal 83 2" xfId="55" xr:uid="{00000000-0005-0000-0000-00002E000000}"/>
    <cellStyle name="Normal_Interfaces" xfId="56" xr:uid="{00000000-0005-0000-0000-00002F000000}"/>
    <cellStyle name="Note 2" xfId="45" xr:uid="{00000000-0005-0000-0000-000030000000}"/>
    <cellStyle name="Note 2 2" xfId="49" xr:uid="{00000000-0005-0000-0000-000031000000}"/>
    <cellStyle name="Note 3" xfId="40" xr:uid="{00000000-0005-0000-0000-000032000000}"/>
    <cellStyle name="Note 4" xfId="46" xr:uid="{00000000-0005-0000-0000-000033000000}"/>
    <cellStyle name="Output 2" xfId="41" xr:uid="{00000000-0005-0000-0000-000034000000}"/>
    <cellStyle name="Output 3" xfId="47" xr:uid="{00000000-0005-0000-0000-000035000000}"/>
    <cellStyle name="Title 2" xfId="42" xr:uid="{00000000-0005-0000-0000-000036000000}"/>
    <cellStyle name="Total 2" xfId="43" xr:uid="{00000000-0005-0000-0000-000037000000}"/>
    <cellStyle name="Total 3" xfId="48" xr:uid="{00000000-0005-0000-0000-000038000000}"/>
    <cellStyle name="Warning Text 2" xfId="44" xr:uid="{00000000-0005-0000-0000-000039000000}"/>
  </cellStyles>
  <dxfs count="517">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ill>
        <patternFill>
          <bgColor theme="6" tint="0.79998168889431442"/>
        </patternFill>
      </fill>
      <border>
        <left style="thin">
          <color auto="1"/>
        </left>
        <right style="thin">
          <color auto="1"/>
        </right>
        <top style="thin">
          <color auto="1"/>
        </top>
        <bottom style="thin">
          <color auto="1"/>
        </bottom>
        <vertical/>
        <horizontal/>
      </border>
    </dxf>
    <dxf>
      <fill>
        <patternFill>
          <bgColor rgb="FFFFFFC5"/>
        </patternFill>
      </fill>
      <border>
        <left style="thin">
          <color auto="1"/>
        </left>
        <right style="thin">
          <color auto="1"/>
        </right>
        <top style="thin">
          <color auto="1"/>
        </top>
        <bottom style="thin">
          <color auto="1"/>
        </bottom>
        <vertical/>
        <horizontal/>
      </border>
    </dxf>
    <dxf>
      <fill>
        <patternFill>
          <bgColor rgb="FFFF9F9F"/>
        </patternFill>
      </fill>
      <border>
        <left style="thin">
          <color auto="1"/>
        </left>
        <right style="thin">
          <color auto="1"/>
        </right>
        <top style="thin">
          <color auto="1"/>
        </top>
        <bottom style="thin">
          <color auto="1"/>
        </bottom>
      </border>
    </dxf>
    <dxf>
      <fill>
        <patternFill>
          <bgColor rgb="FFFF0000"/>
        </patternFill>
      </fill>
    </dxf>
    <dxf>
      <fill>
        <patternFill>
          <bgColor rgb="FF00B050"/>
        </patternFill>
      </fill>
    </dxf>
    <dxf>
      <fill>
        <patternFill>
          <bgColor rgb="FFFFFF00"/>
        </patternFill>
      </fill>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numFmt numFmtId="0" formatCode="General"/>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sz val="12"/>
        <color auto="1"/>
        <name val="Arial"/>
        <scheme val="none"/>
      </font>
      <numFmt numFmtId="0" formatCode="General"/>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12"/>
        <color auto="1"/>
        <name val="Arial"/>
        <scheme val="none"/>
      </font>
      <fill>
        <patternFill patternType="none">
          <fgColor indexed="64"/>
          <bgColor indexed="65"/>
        </patternFill>
      </fill>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sz val="7"/>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family val="2"/>
        <scheme val="none"/>
      </font>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font>
        <b val="0"/>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left style="dashed">
          <color theme="0" tint="-0.499984740745262"/>
        </left>
        <right style="thin">
          <color indexed="64"/>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1"/>
        <color auto="1"/>
        <name val="Arial"/>
        <family val="2"/>
        <scheme val="none"/>
      </font>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family val="2"/>
        <scheme val="none"/>
      </font>
      <alignment horizontal="center" vertical="bottom" textRotation="0" wrapText="0" indent="0" justifyLastLine="0" shrinkToFit="0" readingOrder="0"/>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1"/>
        <color auto="1"/>
        <name val="Arial"/>
        <family val="2"/>
        <scheme val="none"/>
      </font>
      <border diagonalUp="0" diagonalDown="0">
        <left style="dashed">
          <color theme="0" tint="-0.499984740745262"/>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7"/>
        <color theme="1"/>
        <name val="Calibri"/>
        <family val="2"/>
        <scheme val="minor"/>
      </font>
      <alignment horizontal="center" vertical="bottom" textRotation="0" wrapText="1" indent="0" justifyLastLine="0" shrinkToFit="0" readingOrder="0"/>
      <border diagonalUp="0" diagonalDown="0">
        <left style="thin">
          <color indexed="64"/>
        </left>
        <right style="dashed">
          <color theme="0" tint="-0.499984740745262"/>
        </right>
        <top style="dashed">
          <color theme="0" tint="-0.499984740745262"/>
        </top>
        <bottom style="dashed">
          <color theme="0" tint="-0.499984740745262"/>
        </bottom>
        <vertical/>
        <horizontal/>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family val="2"/>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family val="2"/>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numFmt numFmtId="0" formatCode="General"/>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indexed="64"/>
        </left>
        <right style="medium">
          <color indexed="64"/>
        </right>
        <top style="medium">
          <color indexed="64"/>
        </top>
        <bottom style="medium">
          <color indexed="64"/>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style="medium">
          <color indexed="64"/>
        </right>
        <top/>
        <bottom style="medium">
          <color indexed="64"/>
        </bottom>
      </border>
      <protection locked="1" hidden="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right/>
        <top/>
        <bottom style="medium">
          <color indexed="64"/>
        </bottom>
      </border>
      <protection locked="1" hidden="0"/>
    </dxf>
    <dxf>
      <alignment horizontal="center"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i val="0"/>
        <strike val="0"/>
        <condense val="0"/>
        <extend val="0"/>
        <outline val="0"/>
        <shadow val="0"/>
        <u/>
        <vertAlign val="baseline"/>
        <sz val="16"/>
        <color theme="0"/>
        <name val="Arial"/>
        <scheme val="none"/>
      </font>
      <numFmt numFmtId="0" formatCode="General"/>
      <fill>
        <patternFill patternType="solid">
          <fgColor indexed="64"/>
          <bgColor rgb="FFA34D43"/>
        </patternFill>
      </fill>
      <alignment horizontal="center" vertical="center" textRotation="0" wrapText="1" indent="0" justifyLastLine="0" shrinkToFit="0" readingOrder="0"/>
      <border diagonalUp="0" diagonalDown="0" outline="0">
        <left style="medium">
          <color indexed="64"/>
        </left>
        <right/>
        <top/>
        <bottom style="medium">
          <color indexed="64"/>
        </bottom>
      </border>
      <protection locked="1" hidden="0"/>
    </dxf>
    <dxf>
      <border outline="0">
        <top style="medium">
          <color indexed="64"/>
        </top>
        <bottom style="thin">
          <color indexed="64"/>
        </bottom>
      </border>
    </dxf>
    <dxf>
      <alignment horizontal="right" vertical="bottom" textRotation="0" wrapText="0" indent="0" justifyLastLine="0" shrinkToFit="0" readingOrder="0"/>
    </dxf>
    <dxf>
      <border outline="0">
        <bottom style="medium">
          <color indexed="64"/>
        </bottom>
      </border>
    </dxf>
    <dxf>
      <font>
        <b/>
        <i val="0"/>
        <strike val="0"/>
        <condense val="0"/>
        <extend val="0"/>
        <outline val="0"/>
        <shadow val="0"/>
        <u/>
        <vertAlign val="baseline"/>
        <sz val="16"/>
        <color theme="0"/>
        <name val="Arial"/>
        <scheme val="none"/>
      </font>
      <fill>
        <patternFill patternType="solid">
          <fgColor indexed="64"/>
          <bgColor rgb="FFA34D43"/>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12"/>
        <color auto="1"/>
        <name val="Arial"/>
        <scheme val="none"/>
      </font>
      <fill>
        <patternFill patternType="none">
          <fgColor indexed="64"/>
          <bgColor indexed="65"/>
        </patternFill>
      </fill>
      <alignment horizontal="left" vertical="center" textRotation="0" wrapText="1" indent="0" justifyLastLine="0" shrinkToFit="0" readingOrder="0"/>
      <border diagonalUp="0" diagonalDown="0">
        <left/>
        <right/>
        <top style="thin">
          <color indexed="64"/>
        </top>
        <bottom style="thin">
          <color indexed="64"/>
        </bottom>
        <vertical/>
        <horizontal/>
      </border>
      <protection locked="1" hidden="0"/>
    </dxf>
    <dxf>
      <numFmt numFmtId="0" formatCode="General"/>
      <protection locked="1" hidden="0"/>
    </dxf>
    <dxf>
      <protection locked="1" hidden="0"/>
    </dxf>
    <dxf>
      <protection locked="1" hidden="0"/>
    </dxf>
    <dxf>
      <protection locked="1" hidden="0"/>
    </dxf>
    <dxf>
      <protection locked="1" hidden="0"/>
    </dxf>
    <dxf>
      <font>
        <b val="0"/>
        <i val="0"/>
        <strike val="0"/>
        <condense val="0"/>
        <extend val="0"/>
        <outline val="0"/>
        <shadow val="0"/>
        <u val="none"/>
        <vertAlign val="baseline"/>
        <sz val="12"/>
        <color auto="1"/>
        <name val="Arial"/>
        <scheme val="none"/>
      </font>
      <numFmt numFmtId="0" formatCode="General"/>
      <fill>
        <patternFill patternType="solid">
          <fgColor indexed="64"/>
          <bgColor theme="0" tint="-0.14999847407452621"/>
        </patternFill>
      </fill>
      <alignment horizontal="center" vertical="center" textRotation="0" wrapText="0" indent="0" justifyLastLine="0" shrinkToFit="1"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left" vertical="center" textRotation="0" wrapText="1" indent="0" justifyLastLine="0" shrinkToFit="0" readingOrder="0"/>
      <border diagonalUp="0" diagonalDown="0">
        <left style="thin">
          <color indexed="64"/>
        </left>
        <right style="thin">
          <color indexed="64"/>
        </right>
        <top style="thin">
          <color indexed="64"/>
        </top>
        <bottom/>
      </border>
      <protection locked="1" hidden="0"/>
    </dxf>
    <dxf>
      <font>
        <b val="0"/>
        <i val="0"/>
        <strike val="0"/>
        <condense val="0"/>
        <extend val="0"/>
        <outline val="0"/>
        <shadow val="0"/>
        <u val="none"/>
        <vertAlign val="baseline"/>
        <sz val="11"/>
        <color auto="1"/>
        <name val="Arial"/>
        <scheme val="none"/>
      </font>
      <alignment horizontal="center" vertical="center" textRotation="0" wrapText="1"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style="thin">
          <color indexed="64"/>
        </left>
        <right style="thin">
          <color indexed="64"/>
        </right>
        <top/>
        <bottom style="thin">
          <color indexed="64"/>
        </bottom>
        <vertical/>
        <horizontal/>
      </border>
      <protection locked="1" hidden="0"/>
    </dxf>
    <dxf>
      <font>
        <b val="0"/>
        <i val="0"/>
        <strike val="0"/>
        <condense val="0"/>
        <extend val="0"/>
        <outline val="0"/>
        <shadow val="0"/>
        <u val="none"/>
        <vertAlign val="baseline"/>
        <sz val="11"/>
        <color auto="1"/>
        <name val="Arial"/>
        <scheme val="none"/>
      </font>
      <alignment horizontal="center" vertical="center" textRotation="0" wrapText="0" indent="0" justifyLastLine="0" shrinkToFit="0" readingOrder="0"/>
      <border diagonalUp="0" diagonalDown="0">
        <left/>
        <right style="thin">
          <color indexed="64"/>
        </right>
        <top/>
        <bottom style="thin">
          <color indexed="64"/>
        </bottom>
        <vertical/>
        <horizontal/>
      </border>
      <protection locked="1" hidden="0"/>
    </dxf>
    <dxf>
      <border diagonalUp="0" diagonalDown="0">
        <left style="medium">
          <color rgb="FF000000"/>
        </left>
        <right style="medium">
          <color rgb="FF000000"/>
        </right>
        <top style="medium">
          <color rgb="FF000000"/>
        </top>
        <bottom style="medium">
          <color rgb="FF000000"/>
        </bottom>
      </border>
    </dxf>
    <dxf>
      <protection locked="1" hidden="0"/>
    </dxf>
    <dxf>
      <font>
        <b val="0"/>
        <i val="0"/>
        <strike val="0"/>
        <condense val="0"/>
        <extend val="0"/>
        <outline val="0"/>
        <shadow val="0"/>
        <u val="none"/>
        <vertAlign val="baseline"/>
        <sz val="12"/>
        <color auto="1"/>
        <name val="Arial"/>
        <scheme val="none"/>
      </font>
      <fill>
        <patternFill patternType="solid">
          <fgColor indexed="64"/>
          <bgColor rgb="FFFFC000"/>
        </patternFill>
      </fill>
      <alignment horizontal="center" vertical="center" textRotation="90" wrapText="0" indent="0" justifyLastLine="0" shrinkToFit="0" readingOrder="0"/>
      <protection locked="1" hidden="0"/>
    </dxf>
    <dxf>
      <fill>
        <patternFill>
          <bgColor theme="1"/>
        </patternFill>
      </fill>
    </dxf>
  </dxfs>
  <tableStyles count="1" defaultTableStyle="TableStyleMedium2" defaultPivotStyle="PivotStyleLight16">
    <tableStyle name="Table Style 1" pivot="0" count="1" xr9:uid="{00000000-0011-0000-FFFF-FFFF00000000}">
      <tableStyleElement type="firstColumnStripe" dxfId="516"/>
    </tableStyle>
  </tableStyles>
  <colors>
    <mruColors>
      <color rgb="FFFFCC00"/>
      <color rgb="FFEBF1DE"/>
      <color rgb="FFFFFFC5"/>
      <color rgb="FFFF9F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Table8" displayName="Table8" ref="B3:I127" headerRowCount="0" totalsRowShown="0" headerRowDxfId="501" dataDxfId="499" headerRowBorderDxfId="500" tableBorderDxfId="498" headerRowCellStyle="Normal 4">
  <tableColumns count="8">
    <tableColumn id="1" xr3:uid="{00000000-0010-0000-0000-000001000000}" name="Proposal Evaluation Summary" headerRowDxfId="497" dataDxfId="496"/>
    <tableColumn id="2" xr3:uid="{00000000-0010-0000-0000-000002000000}" name="Column1" headerRowDxfId="495" dataDxfId="494"/>
    <tableColumn id="3" xr3:uid="{00000000-0010-0000-0000-000003000000}" name="Column2" headerRowDxfId="493" dataDxfId="492"/>
    <tableColumn id="4" xr3:uid="{00000000-0010-0000-0000-000004000000}" name="Column3" headerRowDxfId="491" dataDxfId="490"/>
    <tableColumn id="5" xr3:uid="{00000000-0010-0000-0000-000005000000}" name="Column4" headerRowDxfId="489" dataDxfId="488"/>
    <tableColumn id="6" xr3:uid="{00000000-0010-0000-0000-000006000000}" name="Column5" headerRowDxfId="487" dataDxfId="486"/>
    <tableColumn id="7" xr3:uid="{00000000-0010-0000-0000-000007000000}" name="Column6" headerRowDxfId="485" dataDxfId="484"/>
    <tableColumn id="8" xr3:uid="{00000000-0010-0000-0000-000008000000}" name="Column7" headerRowDxfId="483" dataDxfId="482"/>
  </tableColumns>
  <tableStyleInfo name="Table Style 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D000000}" name="Table158101112" displayName="Table158101112" ref="B2:L21" totalsRowShown="0" headerRowDxfId="383" dataDxfId="382" tableBorderDxfId="381" headerRowCellStyle="Normal 4">
  <autoFilter ref="B2:L21" xr:uid="{00000000-0009-0000-0100-00000B000000}"/>
  <tableColumns count="11">
    <tableColumn id="1" xr3:uid="{00000000-0010-0000-0D00-000001000000}" name="Spec_x000a_ID" dataDxfId="380" dataCellStyle="Normal 4"/>
    <tableColumn id="2" xr3:uid="{00000000-0010-0000-0D00-000002000000}" name="Spec Number" dataDxfId="379" dataCellStyle="Normal 4"/>
    <tableColumn id="3" xr3:uid="{00000000-0010-0000-0D00-000003000000}" name="Importance" dataDxfId="378" dataCellStyle="Normal 4"/>
    <tableColumn id="4" xr3:uid="{00000000-0010-0000-0D00-000004000000}" name="Description of Capability_x000a__x000a_CAD Interface Emergency Notification System" dataDxfId="377" dataCellStyle="Normal 3"/>
    <tableColumn id="5" xr3:uid="{00000000-0010-0000-0D00-000005000000}" name="Availability" dataDxfId="376" dataCellStyle="Normal 3"/>
    <tableColumn id="6" xr3:uid="{00000000-0010-0000-0D00-000006000000}" name="Descriptions" dataDxfId="375"/>
    <tableColumn id="7" xr3:uid="{00000000-0010-0000-0D00-000007000000}" name="Summary" dataDxfId="374" dataCellStyle="Normal 4"/>
    <tableColumn id="8" xr3:uid="{00000000-0010-0000-0D00-000008000000}" name="Spec Weight" dataDxfId="373" dataCellStyle="Normal 4">
      <calculatedColumnFormula>VLOOKUP($D3,SpecData,2,FALSE)</calculatedColumnFormula>
    </tableColumn>
    <tableColumn id="9" xr3:uid="{00000000-0010-0000-0D00-000009000000}" name="Avail Weight" dataDxfId="372" dataCellStyle="Normal 4">
      <calculatedColumnFormula>VLOOKUP($F3,AvailabilityData,2,FALSE)</calculatedColumnFormula>
    </tableColumn>
    <tableColumn id="10" xr3:uid="{00000000-0010-0000-0D00-00000A000000}" name="Score" dataDxfId="371" dataCellStyle="Normal 4">
      <calculatedColumnFormula>SUM(K4:K480)</calculatedColumnFormula>
    </tableColumn>
    <tableColumn id="11" xr3:uid="{00000000-0010-0000-0D00-00000B000000}" name="Review Comments" dataDxfId="370" dataCellStyle="Normal 4"/>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1000000}" name="Table1222329" displayName="Table1222329" ref="B2:L27" totalsRowShown="0" headerRowDxfId="369" dataDxfId="368" tableBorderDxfId="367" headerRowCellStyle="Normal 4">
  <autoFilter ref="B2:L27" xr:uid="{00000000-0009-0000-0100-00001C000000}"/>
  <tableColumns count="11">
    <tableColumn id="1" xr3:uid="{00000000-0010-0000-1100-000001000000}" name="Spec_x000a_ID" dataDxfId="366" dataCellStyle="Normal 4"/>
    <tableColumn id="2" xr3:uid="{00000000-0010-0000-1100-000002000000}" name="Spec Number" dataDxfId="365" dataCellStyle="Normal 4"/>
    <tableColumn id="3" xr3:uid="{00000000-0010-0000-1100-000003000000}" name="Importance" dataDxfId="364" dataCellStyle="Normal 4"/>
    <tableColumn id="4" xr3:uid="{00000000-0010-0000-1100-000004000000}" name="Description of Capability_x000a__x000a_CAD Interface FRMS Software" dataDxfId="363" dataCellStyle="Normal 3"/>
    <tableColumn id="5" xr3:uid="{00000000-0010-0000-1100-000005000000}" name="Availability" dataDxfId="362" dataCellStyle="Normal 3"/>
    <tableColumn id="6" xr3:uid="{00000000-0010-0000-1100-000006000000}" name="Descriptions" dataDxfId="361"/>
    <tableColumn id="7" xr3:uid="{00000000-0010-0000-1100-000007000000}" name="Summary" dataDxfId="360"/>
    <tableColumn id="8" xr3:uid="{00000000-0010-0000-1100-000008000000}" name="Spec Weight" dataDxfId="359">
      <calculatedColumnFormula>VLOOKUP($D3,SpecData,2,FALSE)</calculatedColumnFormula>
    </tableColumn>
    <tableColumn id="9" xr3:uid="{00000000-0010-0000-1100-000009000000}" name="Avail Weight" dataDxfId="358">
      <calculatedColumnFormula>VLOOKUP($F3,AvailabilityData,2,FALSE)</calculatedColumnFormula>
    </tableColumn>
    <tableColumn id="10" xr3:uid="{00000000-0010-0000-1100-00000A000000}" name="Score" dataDxfId="357">
      <calculatedColumnFormula>I3*J3</calculatedColumnFormula>
    </tableColumn>
    <tableColumn id="11" xr3:uid="{00000000-0010-0000-1100-00000B000000}" name="Review Comments" dataDxfId="356" dataCellStyle="Normal 4"/>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3000000}" name="Table158101112131418" displayName="Table158101112131418" ref="B2:L37" totalsRowShown="0" headerRowDxfId="355" dataDxfId="354" tableBorderDxfId="353" headerRowCellStyle="Normal 4">
  <autoFilter ref="B2:L37" xr:uid="{00000000-0009-0000-0100-000011000000}"/>
  <tableColumns count="11">
    <tableColumn id="1" xr3:uid="{00000000-0010-0000-1300-000001000000}" name="Spec_x000a_ID" dataDxfId="352" dataCellStyle="Normal 4"/>
    <tableColumn id="2" xr3:uid="{00000000-0010-0000-1300-000002000000}" name="Spec Number" dataDxfId="351" dataCellStyle="Normal 4"/>
    <tableColumn id="3" xr3:uid="{00000000-0010-0000-1300-000003000000}" name="Importance" dataDxfId="350" dataCellStyle="Normal 4"/>
    <tableColumn id="4" xr3:uid="{00000000-0010-0000-1300-000004000000}" name="Description of Capability_x000a__x000a_CAD Interface Hazardous Materials" dataDxfId="349" dataCellStyle="Normal 3"/>
    <tableColumn id="5" xr3:uid="{00000000-0010-0000-1300-000005000000}" name="Availability" dataDxfId="348" dataCellStyle="Normal 3"/>
    <tableColumn id="6" xr3:uid="{00000000-0010-0000-1300-000006000000}" name="Descriptions" dataDxfId="347"/>
    <tableColumn id="7" xr3:uid="{00000000-0010-0000-1300-000007000000}" name="Summary" dataDxfId="346" dataCellStyle="Normal 4"/>
    <tableColumn id="8" xr3:uid="{00000000-0010-0000-1300-000008000000}" name="Spec Weight" dataDxfId="345" dataCellStyle="Normal 4">
      <calculatedColumnFormula>VLOOKUP($D3,SpecData,2,FALSE)</calculatedColumnFormula>
    </tableColumn>
    <tableColumn id="9" xr3:uid="{00000000-0010-0000-1300-000009000000}" name="Avail Weight" dataDxfId="344" dataCellStyle="Normal 4">
      <calculatedColumnFormula>VLOOKUP($F3,AvailabilityData,2,FALSE)</calculatedColumnFormula>
    </tableColumn>
    <tableColumn id="10" xr3:uid="{00000000-0010-0000-1300-00000A000000}" name="Score" dataDxfId="343" dataCellStyle="Normal 4">
      <calculatedColumnFormula>SUM(K4:K496)</calculatedColumnFormula>
    </tableColumn>
    <tableColumn id="11" xr3:uid="{00000000-0010-0000-1300-00000B000000}" name="Review Comments" dataDxfId="342" dataCellStyle="Normal 4"/>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14000000}" name="Table158101112131417" displayName="Table158101112131417" ref="B2:L19" totalsRowShown="0" headerRowDxfId="341" dataDxfId="340" tableBorderDxfId="339" headerRowCellStyle="Normal 4">
  <autoFilter ref="B2:L19" xr:uid="{00000000-0009-0000-0100-000010000000}"/>
  <tableColumns count="11">
    <tableColumn id="1" xr3:uid="{00000000-0010-0000-1400-000001000000}" name="Spec_x000a_ID" dataDxfId="338" dataCellStyle="Normal 4"/>
    <tableColumn id="2" xr3:uid="{00000000-0010-0000-1400-000002000000}" name="Spec Number" dataDxfId="337" dataCellStyle="Normal 4"/>
    <tableColumn id="3" xr3:uid="{00000000-0010-0000-1400-000003000000}" name="Importance" dataDxfId="336" dataCellStyle="Normal 4"/>
    <tableColumn id="4" xr3:uid="{00000000-0010-0000-1400-000004000000}" name="Description of Capability_x000a__x000a_CAD Interface Logging Recorder" dataDxfId="335" dataCellStyle="Normal 3"/>
    <tableColumn id="5" xr3:uid="{00000000-0010-0000-1400-000005000000}" name="Availability" dataDxfId="334" dataCellStyle="Normal 3"/>
    <tableColumn id="6" xr3:uid="{00000000-0010-0000-1400-000006000000}" name="Descriptions" dataDxfId="333"/>
    <tableColumn id="7" xr3:uid="{00000000-0010-0000-1400-000007000000}" name="Summary" dataDxfId="332" dataCellStyle="Normal 4"/>
    <tableColumn id="8" xr3:uid="{00000000-0010-0000-1400-000008000000}" name="Spec Weight" dataDxfId="331" dataCellStyle="Normal 4">
      <calculatedColumnFormula>VLOOKUP($D3,SpecData,2,FALSE)</calculatedColumnFormula>
    </tableColumn>
    <tableColumn id="9" xr3:uid="{00000000-0010-0000-1400-000009000000}" name="Avail Weight" dataDxfId="330" dataCellStyle="Normal 4">
      <calculatedColumnFormula>VLOOKUP($F3,AvailabilityData,2,FALSE)</calculatedColumnFormula>
    </tableColumn>
    <tableColumn id="10" xr3:uid="{00000000-0010-0000-1400-00000A000000}" name="Score" dataDxfId="329" dataCellStyle="Normal 4">
      <calculatedColumnFormula>SUM(K4:K478)</calculatedColumnFormula>
    </tableColumn>
    <tableColumn id="11" xr3:uid="{00000000-0010-0000-1400-00000B000000}" name="Review Comments" dataDxfId="328" dataCellStyle="Normal 4"/>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5000000}" name="Table12223242526" displayName="Table12223242526" ref="B2:L21" totalsRowShown="0" headerRowDxfId="327" dataDxfId="326" tableBorderDxfId="325" headerRowCellStyle="Normal 4">
  <autoFilter ref="B2:L21" xr:uid="{00000000-0009-0000-0100-000019000000}"/>
  <tableColumns count="11">
    <tableColumn id="1" xr3:uid="{00000000-0010-0000-1500-000001000000}" name="Spec_x000a_ID" dataDxfId="324" dataCellStyle="Normal 4"/>
    <tableColumn id="2" xr3:uid="{00000000-0010-0000-1500-000002000000}" name="Spec Number" dataDxfId="323" dataCellStyle="Normal 4"/>
    <tableColumn id="3" xr3:uid="{00000000-0010-0000-1500-000003000000}" name="Importance" dataDxfId="322" dataCellStyle="Normal 4"/>
    <tableColumn id="4" xr3:uid="{00000000-0010-0000-1500-000004000000}" name="Description of Capability_x000a__x000a_CAD Interface NextGen 911" dataDxfId="321" dataCellStyle="Normal 3"/>
    <tableColumn id="5" xr3:uid="{00000000-0010-0000-1500-000005000000}" name="Availability" dataDxfId="320" dataCellStyle="Normal 3"/>
    <tableColumn id="6" xr3:uid="{00000000-0010-0000-1500-000006000000}" name="Descriptions" dataDxfId="319"/>
    <tableColumn id="7" xr3:uid="{00000000-0010-0000-1500-000007000000}" name="Summary" dataDxfId="318"/>
    <tableColumn id="8" xr3:uid="{00000000-0010-0000-1500-000008000000}" name="Spec Weight" dataDxfId="317">
      <calculatedColumnFormula>VLOOKUP($D3,SpecData,2,FALSE)</calculatedColumnFormula>
    </tableColumn>
    <tableColumn id="9" xr3:uid="{00000000-0010-0000-1500-000009000000}" name="Avail Weight" dataDxfId="316">
      <calculatedColumnFormula>VLOOKUP($F3,AvailabilityData,2,FALSE)</calculatedColumnFormula>
    </tableColumn>
    <tableColumn id="10" xr3:uid="{00000000-0010-0000-1500-00000A000000}" name="Score" dataDxfId="315">
      <calculatedColumnFormula>SUM(K4:K501)</calculatedColumnFormula>
    </tableColumn>
    <tableColumn id="11" xr3:uid="{00000000-0010-0000-1500-00000B000000}" name="Review Comments" dataDxfId="314" dataCellStyle="Normal 4"/>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6000000}" name="Table15810111213141719" displayName="Table15810111213141719" ref="B2:L19" totalsRowShown="0" headerRowDxfId="313" dataDxfId="312" tableBorderDxfId="311" headerRowCellStyle="Normal 4">
  <autoFilter ref="B2:L19" xr:uid="{00000000-0009-0000-0100-000012000000}"/>
  <tableColumns count="11">
    <tableColumn id="1" xr3:uid="{00000000-0010-0000-1600-000001000000}" name="Spec_x000a_ID" dataDxfId="310" dataCellStyle="Normal 4"/>
    <tableColumn id="2" xr3:uid="{00000000-0010-0000-1600-000002000000}" name="Spec Number" dataDxfId="309" dataCellStyle="Normal 4"/>
    <tableColumn id="3" xr3:uid="{00000000-0010-0000-1600-000003000000}" name="Importance" dataDxfId="308" dataCellStyle="Normal 4"/>
    <tableColumn id="4" xr3:uid="{00000000-0010-0000-1600-000004000000}" name="Description of Capability_x000a__x000a_CAD Interface PSAP Master Clock" dataDxfId="307" dataCellStyle="Normal 3"/>
    <tableColumn id="5" xr3:uid="{00000000-0010-0000-1600-000005000000}" name="Availability" dataDxfId="306" dataCellStyle="Normal 3"/>
    <tableColumn id="6" xr3:uid="{00000000-0010-0000-1600-000006000000}" name="Descriptions" dataDxfId="305"/>
    <tableColumn id="7" xr3:uid="{00000000-0010-0000-1600-000007000000}" name="Summary" dataDxfId="304" dataCellStyle="Normal 4"/>
    <tableColumn id="8" xr3:uid="{00000000-0010-0000-1600-000008000000}" name="Spec Weight" dataDxfId="303" dataCellStyle="Normal 4">
      <calculatedColumnFormula>VLOOKUP($D3,SpecData,2,FALSE)</calculatedColumnFormula>
    </tableColumn>
    <tableColumn id="9" xr3:uid="{00000000-0010-0000-1600-000009000000}" name="Avail Weight" dataDxfId="302" dataCellStyle="Normal 4">
      <calculatedColumnFormula>VLOOKUP($F3,AvailabilityData,2,FALSE)</calculatedColumnFormula>
    </tableColumn>
    <tableColumn id="10" xr3:uid="{00000000-0010-0000-1600-00000A000000}" name="Score" dataDxfId="301" dataCellStyle="Normal 4">
      <calculatedColumnFormula>SUM(K4:K478)</calculatedColumnFormula>
    </tableColumn>
    <tableColumn id="11" xr3:uid="{00000000-0010-0000-1600-00000B000000}" name="Review Comments" dataDxfId="300" dataCellStyle="Normal 4"/>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7000000}" name="Table15810111213141720" displayName="Table15810111213141720" ref="B2:L19" totalsRowShown="0" headerRowDxfId="299" dataDxfId="298" tableBorderDxfId="297" headerRowCellStyle="Normal 4">
  <autoFilter ref="B2:L19" xr:uid="{00000000-0009-0000-0100-000013000000}"/>
  <tableColumns count="11">
    <tableColumn id="1" xr3:uid="{00000000-0010-0000-1700-000001000000}" name="Spec_x000a_ID" dataDxfId="296" dataCellStyle="Normal 4"/>
    <tableColumn id="2" xr3:uid="{00000000-0010-0000-1700-000002000000}" name="Spec Number" dataDxfId="295" dataCellStyle="Normal 4"/>
    <tableColumn id="3" xr3:uid="{00000000-0010-0000-1700-000003000000}" name="Importance" dataDxfId="294" dataCellStyle="Normal 4"/>
    <tableColumn id="4" xr3:uid="{00000000-0010-0000-1700-000004000000}" name="Description of Capability_x000a__x000a_CAD Interface Pictometry" dataDxfId="293" dataCellStyle="Normal 3"/>
    <tableColumn id="5" xr3:uid="{00000000-0010-0000-1700-000005000000}" name="Availability" dataDxfId="292" dataCellStyle="Normal 3"/>
    <tableColumn id="6" xr3:uid="{00000000-0010-0000-1700-000006000000}" name="Descriptions" dataDxfId="291"/>
    <tableColumn id="7" xr3:uid="{00000000-0010-0000-1700-000007000000}" name="Summary" dataDxfId="290" dataCellStyle="Normal 4"/>
    <tableColumn id="8" xr3:uid="{00000000-0010-0000-1700-000008000000}" name="Spec Weight" dataDxfId="289" dataCellStyle="Normal 4">
      <calculatedColumnFormula>VLOOKUP($D3,SpecData,2,FALSE)</calculatedColumnFormula>
    </tableColumn>
    <tableColumn id="9" xr3:uid="{00000000-0010-0000-1700-000009000000}" name="Avail Weight" dataDxfId="288" dataCellStyle="Normal 4">
      <calculatedColumnFormula>VLOOKUP($F3,AvailabilityData,2,FALSE)</calculatedColumnFormula>
    </tableColumn>
    <tableColumn id="10" xr3:uid="{00000000-0010-0000-1700-00000A000000}" name="Score" dataDxfId="287" dataCellStyle="Normal 4">
      <calculatedColumnFormula>SUM(K4:K478)</calculatedColumnFormula>
    </tableColumn>
    <tableColumn id="11" xr3:uid="{00000000-0010-0000-1700-00000B000000}" name="Review Comments" dataDxfId="286" dataCellStyle="Normal 4"/>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8000000}" name="Table15810111213141728" displayName="Table15810111213141728" ref="B2:L57" totalsRowShown="0" headerRowDxfId="285" dataDxfId="284" tableBorderDxfId="283" headerRowCellStyle="Normal 4">
  <autoFilter ref="B2:L57" xr:uid="{00000000-0009-0000-0100-00001B000000}"/>
  <tableColumns count="11">
    <tableColumn id="1" xr3:uid="{00000000-0010-0000-1800-000001000000}" name="Spec_x000a_ID" dataDxfId="282" dataCellStyle="Normal 4"/>
    <tableColumn id="2" xr3:uid="{00000000-0010-0000-1800-000002000000}" name="Spec Number" dataDxfId="281" dataCellStyle="Normal 4"/>
    <tableColumn id="3" xr3:uid="{00000000-0010-0000-1800-000003000000}" name="Importance" dataDxfId="280" dataCellStyle="Normal 4"/>
    <tableColumn id="4" xr3:uid="{00000000-0010-0000-1800-000004000000}" name="Description of Capability_x000a__x000a_CAD Interface Radio System" dataDxfId="279" dataCellStyle="Normal 3"/>
    <tableColumn id="5" xr3:uid="{00000000-0010-0000-1800-000005000000}" name="Availability" dataDxfId="278" dataCellStyle="Normal 3"/>
    <tableColumn id="6" xr3:uid="{00000000-0010-0000-1800-000006000000}" name="Descriptions" dataDxfId="277"/>
    <tableColumn id="7" xr3:uid="{00000000-0010-0000-1800-000007000000}" name="Summary" dataDxfId="276" dataCellStyle="Normal 4"/>
    <tableColumn id="8" xr3:uid="{00000000-0010-0000-1800-000008000000}" name="Spec Weight" dataDxfId="275" dataCellStyle="Normal 4">
      <calculatedColumnFormula>VLOOKUP($D3,SpecData,2,FALSE)</calculatedColumnFormula>
    </tableColumn>
    <tableColumn id="9" xr3:uid="{00000000-0010-0000-1800-000009000000}" name="Avail Weight" dataDxfId="274" dataCellStyle="Normal 4">
      <calculatedColumnFormula>VLOOKUP($F3,AvailabilityData,2,FALSE)</calculatedColumnFormula>
    </tableColumn>
    <tableColumn id="10" xr3:uid="{00000000-0010-0000-1800-00000A000000}" name="Score" dataDxfId="273" dataCellStyle="Normal 4">
      <calculatedColumnFormula>SUM(K4:K498)</calculatedColumnFormula>
    </tableColumn>
    <tableColumn id="11" xr3:uid="{00000000-0010-0000-1800-00000B000000}" name="Review Comments" dataDxfId="272" dataCellStyle="Normal 4"/>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Table122232427" displayName="Table122232427" ref="B2:L22" totalsRowShown="0" headerRowDxfId="271" dataDxfId="270" tableBorderDxfId="269" headerRowCellStyle="Normal 4">
  <autoFilter ref="B2:L22" xr:uid="{00000000-0009-0000-0100-00001A000000}"/>
  <tableColumns count="11">
    <tableColumn id="1" xr3:uid="{00000000-0010-0000-1900-000001000000}" name="Spec_x000a_ID" dataDxfId="268" dataCellStyle="Normal 4"/>
    <tableColumn id="2" xr3:uid="{00000000-0010-0000-1900-000002000000}" name="Spec Number" dataDxfId="267" dataCellStyle="Normal 4"/>
    <tableColumn id="3" xr3:uid="{00000000-0010-0000-1900-000003000000}" name="Importance" dataDxfId="266" dataCellStyle="Normal 4"/>
    <tableColumn id="4" xr3:uid="{00000000-0010-0000-1900-000004000000}" name="Description of Capability_x000a__x000a_CAD Interface LE Records Management System" dataDxfId="265" dataCellStyle="Normal 3"/>
    <tableColumn id="5" xr3:uid="{00000000-0010-0000-1900-000005000000}" name="Availability" dataDxfId="264" dataCellStyle="Normal 3"/>
    <tableColumn id="6" xr3:uid="{00000000-0010-0000-1900-000006000000}" name="Descriptions" dataDxfId="263"/>
    <tableColumn id="7" xr3:uid="{00000000-0010-0000-1900-000007000000}" name="Summary" dataDxfId="262"/>
    <tableColumn id="8" xr3:uid="{00000000-0010-0000-1900-000008000000}" name="Spec Weight" dataDxfId="261">
      <calculatedColumnFormula>VLOOKUP($D3,SpecData,2,FALSE)</calculatedColumnFormula>
    </tableColumn>
    <tableColumn id="9" xr3:uid="{00000000-0010-0000-1900-000009000000}" name="Avail Weight" dataDxfId="260">
      <calculatedColumnFormula>VLOOKUP($F3,AvailabilityData,2,FALSE)</calculatedColumnFormula>
    </tableColumn>
    <tableColumn id="10" xr3:uid="{00000000-0010-0000-1900-00000A000000}" name="Score" dataDxfId="259">
      <calculatedColumnFormula>I3*J3</calculatedColumnFormula>
    </tableColumn>
    <tableColumn id="11" xr3:uid="{00000000-0010-0000-1900-00000B000000}" name="Review Comments" dataDxfId="258" dataCellStyle="Normal 4"/>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E000000}" name="Table1222324" displayName="Table1222324" ref="B2:L55" totalsRowShown="0" headerRowDxfId="257" dataDxfId="256" tableBorderDxfId="255" headerRowCellStyle="Normal 4">
  <autoFilter ref="B2:L55" xr:uid="{00000000-0009-0000-0100-000017000000}"/>
  <tableColumns count="11">
    <tableColumn id="1" xr3:uid="{00000000-0010-0000-1E00-000001000000}" name="Spec_x000a_ID" dataDxfId="254" dataCellStyle="Normal 4"/>
    <tableColumn id="2" xr3:uid="{00000000-0010-0000-1E00-000002000000}" name="Spec Number" dataDxfId="253" dataCellStyle="Normal 4"/>
    <tableColumn id="3" xr3:uid="{00000000-0010-0000-1E00-000003000000}" name="Importance" dataDxfId="252" dataCellStyle="Normal 4"/>
    <tableColumn id="4" xr3:uid="{00000000-0010-0000-1E00-000004000000}" name="Description of Capability_x000a__x000a_CAD Interface LE State / NCIC Interface" dataDxfId="251" dataCellStyle="Normal 3"/>
    <tableColumn id="5" xr3:uid="{00000000-0010-0000-1E00-000005000000}" name="Availability" dataDxfId="250" dataCellStyle="Normal 3"/>
    <tableColumn id="6" xr3:uid="{00000000-0010-0000-1E00-000006000000}" name="Descriptions" dataDxfId="249"/>
    <tableColumn id="7" xr3:uid="{00000000-0010-0000-1E00-000007000000}" name="Summary" dataDxfId="248"/>
    <tableColumn id="8" xr3:uid="{00000000-0010-0000-1E00-000008000000}" name="Spec Weight" dataDxfId="247">
      <calculatedColumnFormula>VLOOKUP($D3,SpecData,2,FALSE)</calculatedColumnFormula>
    </tableColumn>
    <tableColumn id="9" xr3:uid="{00000000-0010-0000-1E00-000009000000}" name="Avail Weight" dataDxfId="246">
      <calculatedColumnFormula>VLOOKUP($F3,AvailabilityData,2,FALSE)</calculatedColumnFormula>
    </tableColumn>
    <tableColumn id="10" xr3:uid="{00000000-0010-0000-1E00-00000A000000}" name="Score" dataDxfId="245">
      <calculatedColumnFormula>I3*J3</calculatedColumnFormula>
    </tableColumn>
    <tableColumn id="11" xr3:uid="{00000000-0010-0000-1E00-00000B000000}" name="Review Comments" dataDxfId="244" dataCellStyle="Normal 4"/>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13" displayName="Table13" ref="B2:L19" totalsRowShown="0" headerRowDxfId="515" dataDxfId="514" tableBorderDxfId="513" headerRowCellStyle="Normal 4">
  <autoFilter ref="B2:L19" xr:uid="{00000000-0009-0000-0100-000002000000}"/>
  <tableColumns count="11">
    <tableColumn id="1" xr3:uid="{00000000-0010-0000-0200-000001000000}" name="Spec_x000a_ID" dataDxfId="512" dataCellStyle="Normal 4"/>
    <tableColumn id="2" xr3:uid="{00000000-0010-0000-0200-000002000000}" name="Spec Number" dataDxfId="511" dataCellStyle="Normal 4"/>
    <tableColumn id="3" xr3:uid="{00000000-0010-0000-0200-000003000000}" name="Importance" dataDxfId="510" dataCellStyle="Normal 4"/>
    <tableColumn id="4" xr3:uid="{00000000-0010-0000-0200-000004000000}" name="Description of Capability_x000a__x000a_CAD Interface Alarm Monitoring" dataDxfId="509" dataCellStyle="Normal 3"/>
    <tableColumn id="5" xr3:uid="{00000000-0010-0000-0200-000005000000}" name="Availability" dataDxfId="508" dataCellStyle="Normal 3"/>
    <tableColumn id="6" xr3:uid="{00000000-0010-0000-0200-000006000000}" name="Descriptions" dataDxfId="507"/>
    <tableColumn id="7" xr3:uid="{00000000-0010-0000-0200-000007000000}" name="Summary" dataDxfId="506"/>
    <tableColumn id="8" xr3:uid="{00000000-0010-0000-0200-000008000000}" name="Spec Weight" dataDxfId="505">
      <calculatedColumnFormula>VLOOKUP($D3,SpecData,2,FALSE)</calculatedColumnFormula>
    </tableColumn>
    <tableColumn id="9" xr3:uid="{00000000-0010-0000-0200-000009000000}" name="Avail Weight" dataDxfId="504">
      <calculatedColumnFormula>VLOOKUP($F3,AvailabilityData,2,FALSE)</calculatedColumnFormula>
    </tableColumn>
    <tableColumn id="10" xr3:uid="{00000000-0010-0000-0200-00000A000000}" name="Score" dataDxfId="503">
      <calculatedColumnFormula>SUM(K4:K478)</calculatedColumnFormula>
    </tableColumn>
    <tableColumn id="11" xr3:uid="{00000000-0010-0000-0200-00000B000000}" name="Review Comments" dataDxfId="502" dataCellStyle="Normal 4"/>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F000000}" name="Table1581011121314172836" displayName="Table1581011121314172836" ref="B2:L20" totalsRowShown="0" headerRowDxfId="243" dataDxfId="242" tableBorderDxfId="241" headerRowCellStyle="Normal 4">
  <autoFilter ref="B2:L20" xr:uid="{00000000-0009-0000-0100-000023000000}"/>
  <tableColumns count="11">
    <tableColumn id="1" xr3:uid="{00000000-0010-0000-1F00-000001000000}" name="Spec_x000a_ID" dataDxfId="240" dataCellStyle="Normal 4"/>
    <tableColumn id="2" xr3:uid="{00000000-0010-0000-1F00-000002000000}" name="Spec Number" dataDxfId="239" dataCellStyle="Normal 4"/>
    <tableColumn id="3" xr3:uid="{00000000-0010-0000-1F00-000003000000}" name="Importance" dataDxfId="238" dataCellStyle="Normal 4"/>
    <tableColumn id="4" xr3:uid="{00000000-0010-0000-1F00-000004000000}" name="Description of Capability_x000a__x000a_CAD Interface TDD / TTY" dataDxfId="237" dataCellStyle="Normal 3"/>
    <tableColumn id="5" xr3:uid="{00000000-0010-0000-1F00-000005000000}" name="Availability" dataDxfId="236" dataCellStyle="Normal 3"/>
    <tableColumn id="6" xr3:uid="{00000000-0010-0000-1F00-000006000000}" name="Descriptions" dataDxfId="235"/>
    <tableColumn id="7" xr3:uid="{00000000-0010-0000-1F00-000007000000}" name="Summary" dataDxfId="234" dataCellStyle="Normal 4"/>
    <tableColumn id="8" xr3:uid="{00000000-0010-0000-1F00-000008000000}" name="Spec Weight" dataDxfId="233" dataCellStyle="Normal 4">
      <calculatedColumnFormula>VLOOKUP($D3,SpecData,2,FALSE)</calculatedColumnFormula>
    </tableColumn>
    <tableColumn id="9" xr3:uid="{00000000-0010-0000-1F00-000009000000}" name="Avail Weight" dataDxfId="232" dataCellStyle="Normal 4">
      <calculatedColumnFormula>VLOOKUP($F3,AvailabilityData,2,FALSE)</calculatedColumnFormula>
    </tableColumn>
    <tableColumn id="10" xr3:uid="{00000000-0010-0000-1F00-00000A000000}" name="Score" dataDxfId="231" dataCellStyle="Normal 4">
      <calculatedColumnFormula>SUM(K4:K479)</calculatedColumnFormula>
    </tableColumn>
    <tableColumn id="11" xr3:uid="{00000000-0010-0000-1F00-00000B000000}" name="Review Comments" dataDxfId="230" dataCellStyle="Normal 4"/>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20000000}" name="Table122232425" displayName="Table122232425" ref="B2:L43" totalsRowShown="0" headerRowDxfId="229" dataDxfId="228" tableBorderDxfId="227" headerRowCellStyle="Normal 4">
  <autoFilter ref="B2:L43" xr:uid="{00000000-0009-0000-0100-000018000000}"/>
  <tableColumns count="11">
    <tableColumn id="1" xr3:uid="{00000000-0010-0000-2000-000001000000}" name="Spec_x000a_ID" dataDxfId="226" dataCellStyle="Normal 4"/>
    <tableColumn id="2" xr3:uid="{00000000-0010-0000-2000-000002000000}" name="Spec Number" dataDxfId="225" dataCellStyle="Normal 4"/>
    <tableColumn id="3" xr3:uid="{00000000-0010-0000-2000-000003000000}" name="Importance" dataDxfId="224" dataCellStyle="Normal 4"/>
    <tableColumn id="4" xr3:uid="{00000000-0010-0000-2000-000004000000}" name="Description of Capability_x000a__x000a_CAD Interface Web CAD" dataDxfId="223" dataCellStyle="Normal 3"/>
    <tableColumn id="5" xr3:uid="{00000000-0010-0000-2000-000005000000}" name="Availability" dataDxfId="222" dataCellStyle="Normal 3"/>
    <tableColumn id="6" xr3:uid="{00000000-0010-0000-2000-000006000000}" name="Descriptions" dataDxfId="221"/>
    <tableColumn id="7" xr3:uid="{00000000-0010-0000-2000-000007000000}" name="Summary" dataDxfId="220"/>
    <tableColumn id="8" xr3:uid="{00000000-0010-0000-2000-000008000000}" name="Spec Weight" dataDxfId="219">
      <calculatedColumnFormula>VLOOKUP($D3,SpecData,2,FALSE)</calculatedColumnFormula>
    </tableColumn>
    <tableColumn id="9" xr3:uid="{00000000-0010-0000-2000-000009000000}" name="Avail Weight" dataDxfId="218">
      <calculatedColumnFormula>VLOOKUP($F3,AvailabilityData,2,FALSE)</calculatedColumnFormula>
    </tableColumn>
    <tableColumn id="10" xr3:uid="{00000000-0010-0000-2000-00000A000000}" name="Score" dataDxfId="217">
      <calculatedColumnFormula>I3*J3</calculatedColumnFormula>
    </tableColumn>
    <tableColumn id="11" xr3:uid="{00000000-0010-0000-2000-00000B000000}" name="Review Comments" dataDxfId="216"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B2:L45" totalsRowShown="0" headerRowDxfId="481" dataDxfId="480" tableBorderDxfId="479" headerRowCellStyle="Normal 4">
  <autoFilter ref="B2:L45" xr:uid="{00000000-0009-0000-0100-000001000000}"/>
  <tableColumns count="11">
    <tableColumn id="1" xr3:uid="{00000000-0010-0000-0100-000001000000}" name="Spec_x000a_ID" dataDxfId="478" dataCellStyle="Normal 4"/>
    <tableColumn id="2" xr3:uid="{00000000-0010-0000-0100-000002000000}" name="Spec Number" dataDxfId="477" dataCellStyle="Normal 4"/>
    <tableColumn id="3" xr3:uid="{00000000-0010-0000-0100-000003000000}" name="Importance" dataDxfId="476" dataCellStyle="Normal 4"/>
    <tableColumn id="4" xr3:uid="{00000000-0010-0000-0100-000004000000}" name="Description of Capability_x000a__x000a_CAD Interface General Requirements" dataDxfId="475" dataCellStyle="Normal 3"/>
    <tableColumn id="5" xr3:uid="{00000000-0010-0000-0100-000005000000}" name="Availability" dataDxfId="474" dataCellStyle="Normal 3"/>
    <tableColumn id="6" xr3:uid="{00000000-0010-0000-0100-000006000000}" name="Descriptions" dataDxfId="473"/>
    <tableColumn id="7" xr3:uid="{00000000-0010-0000-0100-000007000000}" name="Summary" dataDxfId="472"/>
    <tableColumn id="8" xr3:uid="{00000000-0010-0000-0100-000008000000}" name="Spec Weight" dataDxfId="471">
      <calculatedColumnFormula>VLOOKUP($D3,SpecData,2,FALSE)</calculatedColumnFormula>
    </tableColumn>
    <tableColumn id="9" xr3:uid="{00000000-0010-0000-0100-000009000000}" name="Avail Weight" dataDxfId="470">
      <calculatedColumnFormula>VLOOKUP($F3,AvailabilityData,2,FALSE)</calculatedColumnFormula>
    </tableColumn>
    <tableColumn id="10" xr3:uid="{00000000-0010-0000-0100-00000A000000}" name="Score" dataDxfId="469">
      <calculatedColumnFormula>I3*J3</calculatedColumnFormula>
    </tableColumn>
    <tableColumn id="11" xr3:uid="{00000000-0010-0000-0100-00000B000000}" name="Review Comments" dataDxfId="468"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04000000}" name="Table1222331" displayName="Table1222331" ref="B2:L52" totalsRowShown="0" headerRowDxfId="467" dataDxfId="466" tableBorderDxfId="465" headerRowCellStyle="Normal 4">
  <autoFilter ref="B2:L52" xr:uid="{00000000-0009-0000-0100-00001E000000}"/>
  <tableColumns count="11">
    <tableColumn id="1" xr3:uid="{00000000-0010-0000-0400-000001000000}" name="Spec_x000a_ID" dataDxfId="464" dataCellStyle="Normal 4"/>
    <tableColumn id="2" xr3:uid="{00000000-0010-0000-0400-000002000000}" name="Spec Number" dataDxfId="463" dataCellStyle="Normal 4"/>
    <tableColumn id="3" xr3:uid="{00000000-0010-0000-0400-000003000000}" name="Importance" dataDxfId="462" dataCellStyle="Normal 4"/>
    <tableColumn id="4" xr3:uid="{00000000-0010-0000-0400-000004000000}" name="Description of Capability_x000a__x000a_CAD Interface Alerting" dataDxfId="461" dataCellStyle="Normal 3"/>
    <tableColumn id="5" xr3:uid="{00000000-0010-0000-0400-000005000000}" name="Availability" dataDxfId="460" dataCellStyle="Normal 3"/>
    <tableColumn id="6" xr3:uid="{00000000-0010-0000-0400-000006000000}" name="Descriptions" dataDxfId="459"/>
    <tableColumn id="7" xr3:uid="{00000000-0010-0000-0400-000007000000}" name="Summary" dataDxfId="458"/>
    <tableColumn id="8" xr3:uid="{00000000-0010-0000-0400-000008000000}" name="Spec Weight" dataDxfId="457">
      <calculatedColumnFormula>VLOOKUP($D3,SpecData,2,FALSE)</calculatedColumnFormula>
    </tableColumn>
    <tableColumn id="9" xr3:uid="{00000000-0010-0000-0400-000009000000}" name="Avail Weight" dataDxfId="456">
      <calculatedColumnFormula>VLOOKUP($F3,AvailabilityData,2,FALSE)</calculatedColumnFormula>
    </tableColumn>
    <tableColumn id="10" xr3:uid="{00000000-0010-0000-0400-00000A000000}" name="Score" dataDxfId="455">
      <calculatedColumnFormula>I3*J3</calculatedColumnFormula>
    </tableColumn>
    <tableColumn id="11" xr3:uid="{00000000-0010-0000-0400-00000B000000}" name="Review Comments" dataDxfId="454" dataCellStyle="Normal 4"/>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5000000}" name="Table121" displayName="Table121" ref="B2:L53" totalsRowShown="0" headerRowDxfId="453" dataDxfId="452" tableBorderDxfId="451" headerRowCellStyle="Normal 4">
  <autoFilter ref="B2:L53" xr:uid="{00000000-0009-0000-0100-000014000000}"/>
  <tableColumns count="11">
    <tableColumn id="1" xr3:uid="{00000000-0010-0000-0500-000001000000}" name="Spec_x000a_ID" dataDxfId="450" dataCellStyle="Normal 4"/>
    <tableColumn id="2" xr3:uid="{00000000-0010-0000-0500-000002000000}" name="Spec Number" dataDxfId="449" dataCellStyle="Normal 4"/>
    <tableColumn id="3" xr3:uid="{00000000-0010-0000-0500-000003000000}" name="Importance" dataDxfId="448" dataCellStyle="Normal 4"/>
    <tableColumn id="4" xr3:uid="{00000000-0010-0000-0500-000004000000}" name="Description of Capability_x000a__x000a_CAD Interface Alphanumeric / Text Paging" dataDxfId="447" dataCellStyle="Normal 3"/>
    <tableColumn id="5" xr3:uid="{00000000-0010-0000-0500-000005000000}" name="Availability" dataDxfId="446" dataCellStyle="Normal 3"/>
    <tableColumn id="6" xr3:uid="{00000000-0010-0000-0500-000006000000}" name="Descriptions" dataDxfId="445"/>
    <tableColumn id="7" xr3:uid="{00000000-0010-0000-0500-000007000000}" name="Summary" dataDxfId="444"/>
    <tableColumn id="8" xr3:uid="{00000000-0010-0000-0500-000008000000}" name="Spec Weight" dataDxfId="443">
      <calculatedColumnFormula>VLOOKUP($D3,SpecData,2,FALSE)</calculatedColumnFormula>
    </tableColumn>
    <tableColumn id="9" xr3:uid="{00000000-0010-0000-0500-000009000000}" name="Avail Weight" dataDxfId="442">
      <calculatedColumnFormula>VLOOKUP($F3,AvailabilityData,2,FALSE)</calculatedColumnFormula>
    </tableColumn>
    <tableColumn id="10" xr3:uid="{00000000-0010-0000-0500-00000A000000}" name="Score" dataDxfId="441">
      <calculatedColumnFormula>I3*J3</calculatedColumnFormula>
    </tableColumn>
    <tableColumn id="11" xr3:uid="{00000000-0010-0000-0500-00000B000000}" name="Review Comments" dataDxfId="440" dataCellStyle="Normal 4"/>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6000000}" name="Table122" displayName="Table122" ref="B2:L32" totalsRowShown="0" headerRowDxfId="439" dataDxfId="438" tableBorderDxfId="437" headerRowCellStyle="Normal 4">
  <autoFilter ref="B2:L32" xr:uid="{00000000-0009-0000-0100-000015000000}"/>
  <tableColumns count="11">
    <tableColumn id="1" xr3:uid="{00000000-0010-0000-0600-000001000000}" name="Spec_x000a_ID" dataDxfId="436" dataCellStyle="Normal 4"/>
    <tableColumn id="2" xr3:uid="{00000000-0010-0000-0600-000002000000}" name="Spec Number" dataDxfId="435" dataCellStyle="Normal 4"/>
    <tableColumn id="3" xr3:uid="{00000000-0010-0000-0600-000003000000}" name="Importance" dataDxfId="434" dataCellStyle="Normal 4"/>
    <tableColumn id="4" xr3:uid="{00000000-0010-0000-0600-000004000000}" name="Description of Capability_x000a__x000a_CAD Interfaces AVL" dataDxfId="433" dataCellStyle="Normal 3"/>
    <tableColumn id="5" xr3:uid="{00000000-0010-0000-0600-000005000000}" name="Availability" dataDxfId="432" dataCellStyle="Normal 3"/>
    <tableColumn id="6" xr3:uid="{00000000-0010-0000-0600-000006000000}" name="Descriptions" dataDxfId="431"/>
    <tableColumn id="7" xr3:uid="{00000000-0010-0000-0600-000007000000}" name="Summary" dataDxfId="430"/>
    <tableColumn id="8" xr3:uid="{00000000-0010-0000-0600-000008000000}" name="Spec Weight" dataDxfId="429">
      <calculatedColumnFormula>VLOOKUP($D3,SpecData,2,FALSE)</calculatedColumnFormula>
    </tableColumn>
    <tableColumn id="9" xr3:uid="{00000000-0010-0000-0600-000009000000}" name="Avail Weight" dataDxfId="428">
      <calculatedColumnFormula>VLOOKUP($F3,AvailabilityData,2,FALSE)</calculatedColumnFormula>
    </tableColumn>
    <tableColumn id="10" xr3:uid="{00000000-0010-0000-0600-00000A000000}" name="Score" dataDxfId="427">
      <calculatedColumnFormula>I3*J3</calculatedColumnFormula>
    </tableColumn>
    <tableColumn id="11" xr3:uid="{00000000-0010-0000-0600-00000B000000}" name="Review Comments" dataDxfId="426" dataCellStyle="Normal 4"/>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5E3234C-83FE-4C4A-87F0-5F7F9714FEBD}" name="Table4" displayName="Table4" ref="B2:L38" totalsRowShown="0" headerRowDxfId="425" dataDxfId="424" tableBorderDxfId="423" headerRowCellStyle="Normal 4">
  <autoFilter ref="B2:L38" xr:uid="{55E3234C-83FE-4C4A-87F0-5F7F9714FEBD}"/>
  <tableColumns count="11">
    <tableColumn id="1" xr3:uid="{3B11799A-622E-4381-8C43-1CD2F9B09382}" name="Spec_x000a_ID" dataDxfId="422" dataCellStyle="Normal 4">
      <calculatedColumnFormula>IF(C3="","",$B$4)</calculatedColumnFormula>
    </tableColumn>
    <tableColumn id="2" xr3:uid="{DEB751A4-12B7-4FA8-A12A-1FF81AE57D08}" name="Spec Number" dataDxfId="421" dataCellStyle="Normal 4">
      <calculatedColumnFormula>IF(ISTEXT(D3),MAX($C2:$C$12)+1,"")</calculatedColumnFormula>
    </tableColumn>
    <tableColumn id="3" xr3:uid="{EB54656B-A7B5-4981-B9B8-405BCEDAC1BA}" name="Importance" dataDxfId="420" dataCellStyle="Normal 4"/>
    <tableColumn id="4" xr3:uid="{20F66D08-E793-4BD8-99A4-C2D112B07C54}" name="Description of Capability_x000a__x000a_CAD Interface CAD2CAD" dataDxfId="419" dataCellStyle="Normal 83 2"/>
    <tableColumn id="5" xr3:uid="{92B09091-4F99-4083-9377-6DB39E137BDD}" name="Availability" dataDxfId="418" dataCellStyle="Normal 3 2"/>
    <tableColumn id="6" xr3:uid="{37881333-4155-41E4-A29C-C36C6BB2B5F9}" name="Descriptions" dataDxfId="417"/>
    <tableColumn id="7" xr3:uid="{A8868DD5-B77B-4C0C-BEDE-7ED544A901C5}" name="Summary" dataDxfId="416" dataCellStyle="Normal 4"/>
    <tableColumn id="8" xr3:uid="{8879E967-1795-4522-A7AA-FDDA404F6990}" name="Spec Weight" dataDxfId="415" dataCellStyle="Normal 4">
      <calculatedColumnFormula>VLOOKUP($D3,SpecData,2,FALSE)</calculatedColumnFormula>
    </tableColumn>
    <tableColumn id="9" xr3:uid="{9187AA80-96E6-433C-80DE-7D46263F9D6A}" name="Avail Weight" dataDxfId="414" dataCellStyle="Normal 4">
      <calculatedColumnFormula>VLOOKUP($F3,AvailabilityData,2,FALSE)</calculatedColumnFormula>
    </tableColumn>
    <tableColumn id="10" xr3:uid="{C7E665AF-D97A-420A-A179-C9BAF7910466}" name="Score" dataDxfId="413" dataCellStyle="Normal 4">
      <calculatedColumnFormula>I3*J3</calculatedColumnFormula>
    </tableColumn>
    <tableColumn id="11" xr3:uid="{AECB1FA0-D3DB-435A-AD5A-4B8752E2849A}" name="Review Comments" dataDxfId="412" dataCellStyle="Normal 4"/>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0A000000}" name="Table122232930" displayName="Table122232930" ref="B2:L51" totalsRowShown="0" headerRowDxfId="411" dataDxfId="410" tableBorderDxfId="409" headerRowCellStyle="Normal 4">
  <autoFilter ref="B2:L51" xr:uid="{00000000-0009-0000-0100-00001D000000}"/>
  <tableColumns count="11">
    <tableColumn id="1" xr3:uid="{00000000-0010-0000-0A00-000001000000}" name="Spec_x000a_ID" dataDxfId="408" dataCellStyle="Normal 4"/>
    <tableColumn id="2" xr3:uid="{00000000-0010-0000-0A00-000002000000}" name="Spec Number" dataDxfId="407" dataCellStyle="Normal 4"/>
    <tableColumn id="3" xr3:uid="{00000000-0010-0000-0A00-000003000000}" name="Importance" dataDxfId="406" dataCellStyle="Normal 4"/>
    <tableColumn id="4" xr3:uid="{00000000-0010-0000-0A00-000004000000}" name="Description of Capability_x000a__x000a_CAD Interfaces Dispatch Protocol Software" dataDxfId="405" dataCellStyle="Normal 3"/>
    <tableColumn id="5" xr3:uid="{00000000-0010-0000-0A00-000005000000}" name="Availability" dataDxfId="404" dataCellStyle="Normal 3"/>
    <tableColumn id="6" xr3:uid="{00000000-0010-0000-0A00-000006000000}" name="Descriptions" dataDxfId="403"/>
    <tableColumn id="7" xr3:uid="{00000000-0010-0000-0A00-000007000000}" name="Summary" dataDxfId="402"/>
    <tableColumn id="8" xr3:uid="{00000000-0010-0000-0A00-000008000000}" name="Spec Weight" dataDxfId="401">
      <calculatedColumnFormula>VLOOKUP($D3,SpecData,2,FALSE)</calculatedColumnFormula>
    </tableColumn>
    <tableColumn id="9" xr3:uid="{00000000-0010-0000-0A00-000009000000}" name="Avail Weight" dataDxfId="400">
      <calculatedColumnFormula>VLOOKUP($F3,AvailabilityData,2,FALSE)</calculatedColumnFormula>
    </tableColumn>
    <tableColumn id="10" xr3:uid="{00000000-0010-0000-0A00-00000A000000}" name="Score" dataDxfId="399">
      <calculatedColumnFormula>I3*J3</calculatedColumnFormula>
    </tableColumn>
    <tableColumn id="11" xr3:uid="{00000000-0010-0000-0A00-00000B000000}" name="Review Comments" dataDxfId="398" dataCellStyle="Normal 4"/>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C000000}" name="Table12223" displayName="Table12223" ref="B2:L23" totalsRowShown="0" headerRowDxfId="397" dataDxfId="396" tableBorderDxfId="395" headerRowCellStyle="Normal 4">
  <autoFilter ref="B2:L23" xr:uid="{00000000-0009-0000-0100-000016000000}"/>
  <tableColumns count="11">
    <tableColumn id="1" xr3:uid="{00000000-0010-0000-0C00-000001000000}" name="Spec_x000a_ID" dataDxfId="394" dataCellStyle="Normal 4"/>
    <tableColumn id="2" xr3:uid="{00000000-0010-0000-0C00-000002000000}" name="Spec Number" dataDxfId="393" dataCellStyle="Normal 4"/>
    <tableColumn id="3" xr3:uid="{00000000-0010-0000-0C00-000003000000}" name="Importance" dataDxfId="392" dataCellStyle="Normal 4"/>
    <tableColumn id="4" xr3:uid="{00000000-0010-0000-0C00-000004000000}" name="Description of Capability_x000a__x000a_CAD Interfaces E-9-1-1" dataDxfId="391" dataCellStyle="Normal 3"/>
    <tableColumn id="5" xr3:uid="{00000000-0010-0000-0C00-000005000000}" name="Availability" dataDxfId="390" dataCellStyle="Normal 3"/>
    <tableColumn id="6" xr3:uid="{00000000-0010-0000-0C00-000006000000}" name="Descriptions" dataDxfId="389"/>
    <tableColumn id="7" xr3:uid="{00000000-0010-0000-0C00-000007000000}" name="Summary" dataDxfId="388"/>
    <tableColumn id="8" xr3:uid="{00000000-0010-0000-0C00-000008000000}" name="Spec Weight" dataDxfId="387">
      <calculatedColumnFormula>VLOOKUP($D3,SpecData,2,FALSE)</calculatedColumnFormula>
    </tableColumn>
    <tableColumn id="9" xr3:uid="{00000000-0010-0000-0C00-000009000000}" name="Avail Weight" dataDxfId="386">
      <calculatedColumnFormula>VLOOKUP($F3,AvailabilityData,2,FALSE)</calculatedColumnFormula>
    </tableColumn>
    <tableColumn id="10" xr3:uid="{00000000-0010-0000-0C00-00000A000000}" name="Score" dataDxfId="385">
      <calculatedColumnFormula>I3*J3</calculatedColumnFormula>
    </tableColumn>
    <tableColumn id="11" xr3:uid="{00000000-0010-0000-0C00-00000B000000}" name="Review Comments" dataDxfId="384" dataCellStyle="Normal 4"/>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09420-7F30-4FBA-9AE4-E989202B6C3C}">
  <dimension ref="A1:B37"/>
  <sheetViews>
    <sheetView zoomScale="80" zoomScaleNormal="80" workbookViewId="0">
      <selection activeCell="G24" sqref="G24"/>
    </sheetView>
  </sheetViews>
  <sheetFormatPr defaultRowHeight="15" x14ac:dyDescent="0.25"/>
  <cols>
    <col min="1" max="1" width="28.7109375" bestFit="1" customWidth="1"/>
    <col min="2" max="2" width="11" customWidth="1"/>
  </cols>
  <sheetData>
    <row r="1" spans="1:2" ht="21" customHeight="1" x14ac:dyDescent="0.25">
      <c r="B1" s="60" t="s">
        <v>707</v>
      </c>
    </row>
    <row r="2" spans="1:2" x14ac:dyDescent="0.25">
      <c r="A2" t="s">
        <v>676</v>
      </c>
    </row>
    <row r="3" spans="1:2" x14ac:dyDescent="0.25">
      <c r="A3" t="s">
        <v>677</v>
      </c>
    </row>
    <row r="4" spans="1:2" x14ac:dyDescent="0.25">
      <c r="A4" t="s">
        <v>678</v>
      </c>
    </row>
    <row r="5" spans="1:2" x14ac:dyDescent="0.25">
      <c r="A5" t="s">
        <v>679</v>
      </c>
    </row>
    <row r="6" spans="1:2" x14ac:dyDescent="0.25">
      <c r="A6" t="s">
        <v>680</v>
      </c>
    </row>
    <row r="7" spans="1:2" x14ac:dyDescent="0.25">
      <c r="A7" t="s">
        <v>681</v>
      </c>
    </row>
    <row r="8" spans="1:2" x14ac:dyDescent="0.25">
      <c r="A8" t="s">
        <v>682</v>
      </c>
    </row>
    <row r="9" spans="1:2" x14ac:dyDescent="0.25">
      <c r="A9" t="s">
        <v>683</v>
      </c>
    </row>
    <row r="10" spans="1:2" x14ac:dyDescent="0.25">
      <c r="A10" t="s">
        <v>684</v>
      </c>
    </row>
    <row r="11" spans="1:2" x14ac:dyDescent="0.25">
      <c r="A11" t="s">
        <v>685</v>
      </c>
    </row>
    <row r="12" spans="1:2" x14ac:dyDescent="0.25">
      <c r="A12" t="s">
        <v>686</v>
      </c>
    </row>
    <row r="13" spans="1:2" x14ac:dyDescent="0.25">
      <c r="A13" t="s">
        <v>687</v>
      </c>
    </row>
    <row r="14" spans="1:2" x14ac:dyDescent="0.25">
      <c r="A14" t="s">
        <v>688</v>
      </c>
    </row>
    <row r="15" spans="1:2" x14ac:dyDescent="0.25">
      <c r="A15" t="s">
        <v>689</v>
      </c>
    </row>
    <row r="16" spans="1:2" x14ac:dyDescent="0.25">
      <c r="A16" t="s">
        <v>305</v>
      </c>
    </row>
    <row r="17" spans="1:1" x14ac:dyDescent="0.25">
      <c r="A17" t="s">
        <v>690</v>
      </c>
    </row>
    <row r="18" spans="1:1" x14ac:dyDescent="0.25">
      <c r="A18" t="s">
        <v>443</v>
      </c>
    </row>
    <row r="19" spans="1:1" x14ac:dyDescent="0.25">
      <c r="A19" t="s">
        <v>691</v>
      </c>
    </row>
    <row r="20" spans="1:1" x14ac:dyDescent="0.25">
      <c r="A20" t="s">
        <v>692</v>
      </c>
    </row>
    <row r="21" spans="1:1" x14ac:dyDescent="0.25">
      <c r="A21" t="s">
        <v>693</v>
      </c>
    </row>
    <row r="22" spans="1:1" x14ac:dyDescent="0.25">
      <c r="A22" t="s">
        <v>694</v>
      </c>
    </row>
    <row r="23" spans="1:1" x14ac:dyDescent="0.25">
      <c r="A23" t="s">
        <v>695</v>
      </c>
    </row>
    <row r="24" spans="1:1" x14ac:dyDescent="0.25">
      <c r="A24" t="s">
        <v>696</v>
      </c>
    </row>
    <row r="25" spans="1:1" x14ac:dyDescent="0.25">
      <c r="A25" t="s">
        <v>697</v>
      </c>
    </row>
    <row r="26" spans="1:1" x14ac:dyDescent="0.25">
      <c r="A26" t="s">
        <v>698</v>
      </c>
    </row>
    <row r="27" spans="1:1" x14ac:dyDescent="0.25">
      <c r="A27" t="s">
        <v>327</v>
      </c>
    </row>
    <row r="28" spans="1:1" x14ac:dyDescent="0.25">
      <c r="A28" t="s">
        <v>699</v>
      </c>
    </row>
    <row r="29" spans="1:1" x14ac:dyDescent="0.25">
      <c r="A29" t="s">
        <v>700</v>
      </c>
    </row>
    <row r="30" spans="1:1" x14ac:dyDescent="0.25">
      <c r="A30" t="s">
        <v>701</v>
      </c>
    </row>
    <row r="31" spans="1:1" x14ac:dyDescent="0.25">
      <c r="A31" t="s">
        <v>702</v>
      </c>
    </row>
    <row r="32" spans="1:1" x14ac:dyDescent="0.25">
      <c r="A32" t="s">
        <v>703</v>
      </c>
    </row>
    <row r="33" spans="1:1" x14ac:dyDescent="0.25">
      <c r="A33" t="s">
        <v>704</v>
      </c>
    </row>
    <row r="34" spans="1:1" x14ac:dyDescent="0.25">
      <c r="A34" t="s">
        <v>705</v>
      </c>
    </row>
    <row r="35" spans="1:1" x14ac:dyDescent="0.25">
      <c r="A35" t="s">
        <v>706</v>
      </c>
    </row>
    <row r="37" spans="1:1" x14ac:dyDescent="0.25">
      <c r="A37" s="61"/>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9">
    <tabColor rgb="FFFFCC00"/>
    <pageSetUpPr fitToPage="1"/>
  </sheetPr>
  <dimension ref="A1:M54"/>
  <sheetViews>
    <sheetView showGridLines="0" zoomScale="80" zoomScaleNormal="80" zoomScalePageLayoutView="40" workbookViewId="0">
      <selection activeCell="F4" sqref="F4"/>
    </sheetView>
  </sheetViews>
  <sheetFormatPr defaultColWidth="0" defaultRowHeight="15" zeroHeight="1" x14ac:dyDescent="0.25"/>
  <cols>
    <col min="1" max="1" width="0.7109375" customWidth="1"/>
    <col min="2" max="2" width="11.7109375" customWidth="1"/>
    <col min="3" max="3" width="11.42578125" customWidth="1"/>
    <col min="4" max="4" width="23.28515625" customWidth="1"/>
    <col min="5" max="5" width="65.7109375" style="63" customWidth="1"/>
    <col min="6" max="6" width="28.7109375" customWidth="1"/>
    <col min="7" max="7" width="16" style="64" hidden="1" customWidth="1"/>
    <col min="8" max="11" width="12.7109375" hidden="1" customWidth="1"/>
    <col min="12" max="12" width="49.42578125" customWidth="1"/>
    <col min="13" max="13" width="2" customWidth="1"/>
    <col min="14" max="16384" width="9.28515625" hidden="1"/>
  </cols>
  <sheetData>
    <row r="1" spans="2:12" ht="4.9000000000000004" customHeight="1" x14ac:dyDescent="0.25"/>
    <row r="2" spans="2:12" s="71" customFormat="1" ht="129" customHeight="1" thickBot="1" x14ac:dyDescent="0.25">
      <c r="B2" s="65" t="s">
        <v>44</v>
      </c>
      <c r="C2" s="66" t="s">
        <v>45</v>
      </c>
      <c r="D2" s="66" t="s">
        <v>46</v>
      </c>
      <c r="E2" s="66" t="s">
        <v>250</v>
      </c>
      <c r="F2" s="66" t="s">
        <v>42</v>
      </c>
      <c r="G2" s="67" t="s">
        <v>48</v>
      </c>
      <c r="H2" s="67" t="s">
        <v>49</v>
      </c>
      <c r="I2" s="68" t="s">
        <v>50</v>
      </c>
      <c r="J2" s="68" t="s">
        <v>51</v>
      </c>
      <c r="K2" s="69" t="s">
        <v>14</v>
      </c>
      <c r="L2" s="70" t="s">
        <v>52</v>
      </c>
    </row>
    <row r="3" spans="2:12" ht="16.5" thickBot="1" x14ac:dyDescent="0.3">
      <c r="B3" s="72" t="s">
        <v>251</v>
      </c>
      <c r="C3" s="72"/>
      <c r="D3" s="72"/>
      <c r="E3" s="72"/>
      <c r="F3" s="72"/>
      <c r="G3" s="73" t="s">
        <v>54</v>
      </c>
      <c r="H3" s="74">
        <f>COUNTA(D4:D499)</f>
        <v>43</v>
      </c>
      <c r="I3" s="75"/>
      <c r="J3" s="76" t="s">
        <v>55</v>
      </c>
      <c r="K3" s="77">
        <f>SUM(K4:K499)</f>
        <v>0</v>
      </c>
      <c r="L3" s="72"/>
    </row>
    <row r="4" spans="2:12" ht="30" customHeight="1" x14ac:dyDescent="0.25">
      <c r="B4" s="78" t="s">
        <v>252</v>
      </c>
      <c r="C4" s="79">
        <v>1</v>
      </c>
      <c r="D4" s="80" t="s">
        <v>10</v>
      </c>
      <c r="E4" s="154" t="s">
        <v>253</v>
      </c>
      <c r="F4" s="223" t="s">
        <v>43</v>
      </c>
      <c r="G4" s="224" t="s">
        <v>57</v>
      </c>
      <c r="H4" s="225">
        <f>COUNTIF(F4:F499,"Select from Drop Down")</f>
        <v>43</v>
      </c>
      <c r="I4" s="226">
        <f>VLOOKUP($D4,SpecData,2,FALSE)</f>
        <v>2</v>
      </c>
      <c r="J4" s="227">
        <f>VLOOKUP($F4,AvailabilityData,2,FALSE)</f>
        <v>0</v>
      </c>
      <c r="K4" s="228">
        <f>I4*J4</f>
        <v>0</v>
      </c>
      <c r="L4" s="20"/>
    </row>
    <row r="5" spans="2:12" ht="30" customHeight="1" x14ac:dyDescent="0.25">
      <c r="B5" s="78" t="str">
        <f>IF(C5="","",$B$4)</f>
        <v>IEMD</v>
      </c>
      <c r="C5" s="79">
        <f>IF(ISTEXT(D5),MAX($C$4:$C4)+1,"")</f>
        <v>2</v>
      </c>
      <c r="D5" s="80" t="s">
        <v>10</v>
      </c>
      <c r="E5" s="154" t="s">
        <v>254</v>
      </c>
      <c r="F5" s="223" t="s">
        <v>43</v>
      </c>
      <c r="G5" s="224" t="s">
        <v>59</v>
      </c>
      <c r="H5" s="225">
        <f>COUNTIF(F4:F499,"Function Available")</f>
        <v>0</v>
      </c>
      <c r="I5" s="226">
        <f>VLOOKUP($D5,SpecData,2,FALSE)</f>
        <v>2</v>
      </c>
      <c r="J5" s="227">
        <f>VLOOKUP($F5,AvailabilityData,2,FALSE)</f>
        <v>0</v>
      </c>
      <c r="K5" s="228">
        <f>I5*J5</f>
        <v>0</v>
      </c>
      <c r="L5" s="20"/>
    </row>
    <row r="6" spans="2:12" ht="30" customHeight="1" x14ac:dyDescent="0.25">
      <c r="B6" s="78" t="str">
        <f t="shared" ref="B6:B51" si="0">IF(C6="","",$B$4)</f>
        <v>IEMD</v>
      </c>
      <c r="C6" s="79">
        <f>IF(ISTEXT(D6),MAX($C$4:$C5)+1,"")</f>
        <v>3</v>
      </c>
      <c r="D6" s="80" t="s">
        <v>11</v>
      </c>
      <c r="E6" s="154" t="s">
        <v>255</v>
      </c>
      <c r="F6" s="223" t="s">
        <v>43</v>
      </c>
      <c r="G6" s="224" t="s">
        <v>61</v>
      </c>
      <c r="H6" s="231">
        <f>COUNTIF(F4:F499,"Function Not Available")</f>
        <v>0</v>
      </c>
      <c r="I6" s="226">
        <f t="shared" ref="I6:I27" si="1">VLOOKUP($D6,SpecData,2,FALSE)</f>
        <v>1</v>
      </c>
      <c r="J6" s="227">
        <f t="shared" ref="J6:J27" si="2">VLOOKUP($F6,AvailabilityData,2,FALSE)</f>
        <v>0</v>
      </c>
      <c r="K6" s="250">
        <f t="shared" ref="K6:K27" si="3">I6*J6</f>
        <v>0</v>
      </c>
      <c r="L6" s="20"/>
    </row>
    <row r="7" spans="2:12" ht="30" customHeight="1" x14ac:dyDescent="0.25">
      <c r="B7" s="124" t="str">
        <f t="shared" si="0"/>
        <v/>
      </c>
      <c r="C7" s="125" t="str">
        <f>IF(ISTEXT(D7),MAX($C$4:$C6)+1,"")</f>
        <v/>
      </c>
      <c r="D7" s="126"/>
      <c r="E7" s="127" t="s">
        <v>256</v>
      </c>
      <c r="F7" s="128"/>
      <c r="G7" s="129"/>
      <c r="H7" s="129"/>
      <c r="I7" s="129"/>
      <c r="J7" s="129"/>
      <c r="K7" s="129"/>
      <c r="L7" s="129"/>
    </row>
    <row r="8" spans="2:12" ht="30" customHeight="1" x14ac:dyDescent="0.25">
      <c r="B8" s="78" t="str">
        <f t="shared" si="0"/>
        <v>IEMD</v>
      </c>
      <c r="C8" s="79">
        <f>IF(ISTEXT(D8),MAX($C$4:$C7)+1,"")</f>
        <v>4</v>
      </c>
      <c r="D8" s="80" t="s">
        <v>10</v>
      </c>
      <c r="E8" s="176" t="s">
        <v>567</v>
      </c>
      <c r="F8" s="223" t="s">
        <v>43</v>
      </c>
      <c r="G8" s="224" t="s">
        <v>63</v>
      </c>
      <c r="H8" s="231">
        <f>COUNTIF(F4:F499,"Exception")</f>
        <v>0</v>
      </c>
      <c r="I8" s="226">
        <f t="shared" si="1"/>
        <v>2</v>
      </c>
      <c r="J8" s="227">
        <f t="shared" si="2"/>
        <v>0</v>
      </c>
      <c r="K8" s="228">
        <f t="shared" si="3"/>
        <v>0</v>
      </c>
      <c r="L8" s="20"/>
    </row>
    <row r="9" spans="2:12" ht="30" customHeight="1" x14ac:dyDescent="0.25">
      <c r="B9" s="78" t="str">
        <f t="shared" si="0"/>
        <v>IEMD</v>
      </c>
      <c r="C9" s="79">
        <f>IF(ISTEXT(D9),MAX($C$4:$C8)+1,"")</f>
        <v>5</v>
      </c>
      <c r="D9" s="80" t="s">
        <v>10</v>
      </c>
      <c r="E9" s="176" t="s">
        <v>568</v>
      </c>
      <c r="F9" s="223" t="s">
        <v>43</v>
      </c>
      <c r="G9" s="224" t="s">
        <v>65</v>
      </c>
      <c r="H9" s="232">
        <f>COUNTIFS(D:D,"=Crucial",F:F,"=Select From Drop Down")</f>
        <v>1</v>
      </c>
      <c r="I9" s="226">
        <f t="shared" si="1"/>
        <v>2</v>
      </c>
      <c r="J9" s="227">
        <f t="shared" si="2"/>
        <v>0</v>
      </c>
      <c r="K9" s="250">
        <f t="shared" si="3"/>
        <v>0</v>
      </c>
      <c r="L9" s="20"/>
    </row>
    <row r="10" spans="2:12" ht="49.15" customHeight="1" x14ac:dyDescent="0.25">
      <c r="B10" s="78" t="str">
        <f t="shared" si="0"/>
        <v>IEMD</v>
      </c>
      <c r="C10" s="79">
        <f>IF(ISTEXT(D10),MAX($C$4:$C9)+1,"")</f>
        <v>6</v>
      </c>
      <c r="D10" s="80" t="s">
        <v>10</v>
      </c>
      <c r="E10" s="177" t="s">
        <v>546</v>
      </c>
      <c r="F10" s="223" t="s">
        <v>43</v>
      </c>
      <c r="G10" s="224" t="s">
        <v>67</v>
      </c>
      <c r="H10" s="232">
        <f>COUNTIFS(D:D,"=Crucial",F:F,"=Function Available")</f>
        <v>0</v>
      </c>
      <c r="I10" s="226">
        <f t="shared" si="1"/>
        <v>2</v>
      </c>
      <c r="J10" s="227">
        <f t="shared" si="2"/>
        <v>0</v>
      </c>
      <c r="K10" s="250">
        <f t="shared" si="3"/>
        <v>0</v>
      </c>
      <c r="L10" s="20"/>
    </row>
    <row r="11" spans="2:12" ht="42" customHeight="1" x14ac:dyDescent="0.25">
      <c r="B11" s="78" t="str">
        <f t="shared" si="0"/>
        <v>IEMD</v>
      </c>
      <c r="C11" s="79">
        <f>IF(ISTEXT(D11),MAX($C$4:$C10)+1,"")</f>
        <v>7</v>
      </c>
      <c r="D11" s="80" t="s">
        <v>10</v>
      </c>
      <c r="E11" s="177" t="s">
        <v>257</v>
      </c>
      <c r="F11" s="223" t="s">
        <v>43</v>
      </c>
      <c r="G11" s="224" t="s">
        <v>69</v>
      </c>
      <c r="H11" s="232">
        <f>COUNTIFS(D:D,"=Crucial",F:F,"=Function Not Available")</f>
        <v>0</v>
      </c>
      <c r="I11" s="226">
        <f t="shared" si="1"/>
        <v>2</v>
      </c>
      <c r="J11" s="227">
        <f t="shared" si="2"/>
        <v>0</v>
      </c>
      <c r="K11" s="250">
        <f t="shared" si="3"/>
        <v>0</v>
      </c>
      <c r="L11" s="20"/>
    </row>
    <row r="12" spans="2:12" ht="30" customHeight="1" x14ac:dyDescent="0.25">
      <c r="B12" s="124" t="str">
        <f t="shared" si="0"/>
        <v/>
      </c>
      <c r="C12" s="125" t="str">
        <f>IF(ISTEXT(D12),MAX($C$4:$C11)+1,"")</f>
        <v/>
      </c>
      <c r="D12" s="126"/>
      <c r="E12" s="127" t="s">
        <v>258</v>
      </c>
      <c r="F12" s="128"/>
      <c r="G12" s="129"/>
      <c r="H12" s="129"/>
      <c r="I12" s="178"/>
      <c r="J12" s="178"/>
      <c r="K12" s="178"/>
      <c r="L12" s="129"/>
    </row>
    <row r="13" spans="2:12" ht="30" customHeight="1" x14ac:dyDescent="0.25">
      <c r="B13" s="78" t="str">
        <f t="shared" si="0"/>
        <v>IEMD</v>
      </c>
      <c r="C13" s="79">
        <f>IF(ISTEXT(D13),MAX($C$4:$C12)+1,"")</f>
        <v>8</v>
      </c>
      <c r="D13" s="80" t="s">
        <v>11</v>
      </c>
      <c r="E13" s="150" t="s">
        <v>259</v>
      </c>
      <c r="F13" s="223" t="s">
        <v>43</v>
      </c>
      <c r="G13" s="241" t="s">
        <v>70</v>
      </c>
      <c r="H13" s="271">
        <f>COUNTIFS(D:D,"=Crucial",F:F,"=Exception")</f>
        <v>0</v>
      </c>
      <c r="I13" s="272">
        <f t="shared" si="1"/>
        <v>1</v>
      </c>
      <c r="J13" s="273">
        <f t="shared" si="2"/>
        <v>0</v>
      </c>
      <c r="K13" s="272">
        <f t="shared" si="3"/>
        <v>0</v>
      </c>
      <c r="L13" s="20"/>
    </row>
    <row r="14" spans="2:12" ht="30" customHeight="1" x14ac:dyDescent="0.25">
      <c r="B14" s="78" t="str">
        <f t="shared" si="0"/>
        <v>IEMD</v>
      </c>
      <c r="C14" s="79">
        <f>IF(ISTEXT(D14),MAX($C$4:$C13)+1,"")</f>
        <v>9</v>
      </c>
      <c r="D14" s="80" t="s">
        <v>10</v>
      </c>
      <c r="E14" s="151" t="s">
        <v>658</v>
      </c>
      <c r="F14" s="223" t="s">
        <v>43</v>
      </c>
      <c r="G14" s="224" t="s">
        <v>72</v>
      </c>
      <c r="H14" s="274">
        <f>COUNTIFS(D:D,"=Important",F:F,"=Select From Drop Down")</f>
        <v>12</v>
      </c>
      <c r="I14" s="272">
        <f t="shared" si="1"/>
        <v>2</v>
      </c>
      <c r="J14" s="273">
        <f t="shared" si="2"/>
        <v>0</v>
      </c>
      <c r="K14" s="272">
        <f t="shared" si="3"/>
        <v>0</v>
      </c>
      <c r="L14" s="20"/>
    </row>
    <row r="15" spans="2:12" ht="30" customHeight="1" x14ac:dyDescent="0.25">
      <c r="B15" s="78" t="str">
        <f t="shared" si="0"/>
        <v>IEMD</v>
      </c>
      <c r="C15" s="79">
        <f>IF(ISTEXT(D15),MAX($C$4:$C14)+1,"")</f>
        <v>10</v>
      </c>
      <c r="D15" s="80" t="s">
        <v>10</v>
      </c>
      <c r="E15" s="151" t="s">
        <v>659</v>
      </c>
      <c r="F15" s="223" t="s">
        <v>43</v>
      </c>
      <c r="G15" s="224" t="s">
        <v>74</v>
      </c>
      <c r="H15" s="274">
        <f>COUNTIFS(D:D,"=Important",F:F,"=Function Available")</f>
        <v>0</v>
      </c>
      <c r="I15" s="272">
        <f t="shared" si="1"/>
        <v>2</v>
      </c>
      <c r="J15" s="273">
        <f t="shared" si="2"/>
        <v>0</v>
      </c>
      <c r="K15" s="272">
        <f t="shared" si="3"/>
        <v>0</v>
      </c>
      <c r="L15" s="20"/>
    </row>
    <row r="16" spans="2:12" ht="30" customHeight="1" x14ac:dyDescent="0.25">
      <c r="B16" s="78" t="str">
        <f t="shared" si="0"/>
        <v>IEMD</v>
      </c>
      <c r="C16" s="79">
        <f>IF(ISTEXT(D16),MAX($C$4:$C15)+1,"")</f>
        <v>11</v>
      </c>
      <c r="D16" s="80" t="s">
        <v>11</v>
      </c>
      <c r="E16" s="151" t="s">
        <v>660</v>
      </c>
      <c r="F16" s="223" t="s">
        <v>43</v>
      </c>
      <c r="G16" s="224" t="s">
        <v>76</v>
      </c>
      <c r="H16" s="274">
        <f>COUNTIFS(D:D,"=Important",F:F,"=Function Not Available")</f>
        <v>0</v>
      </c>
      <c r="I16" s="272">
        <f t="shared" si="1"/>
        <v>1</v>
      </c>
      <c r="J16" s="273">
        <f t="shared" si="2"/>
        <v>0</v>
      </c>
      <c r="K16" s="272">
        <f t="shared" si="3"/>
        <v>0</v>
      </c>
      <c r="L16" s="20"/>
    </row>
    <row r="17" spans="2:12" ht="30" customHeight="1" x14ac:dyDescent="0.25">
      <c r="B17" s="179" t="str">
        <f t="shared" ref="B17:B27" si="4">IF(C17="","",$B$4)</f>
        <v>IEMD</v>
      </c>
      <c r="C17" s="179">
        <f>IF(ISTEXT(D17),MAX($C$4:$C16)+1,"")</f>
        <v>12</v>
      </c>
      <c r="D17" s="80" t="s">
        <v>11</v>
      </c>
      <c r="E17" s="180" t="s">
        <v>260</v>
      </c>
      <c r="F17" s="229" t="s">
        <v>43</v>
      </c>
      <c r="G17" s="224" t="s">
        <v>77</v>
      </c>
      <c r="H17" s="274">
        <f>COUNTIFS(D:D,"=Important",F:F,"=Exception")</f>
        <v>0</v>
      </c>
      <c r="I17" s="272">
        <f t="shared" si="1"/>
        <v>1</v>
      </c>
      <c r="J17" s="273">
        <f t="shared" si="2"/>
        <v>0</v>
      </c>
      <c r="K17" s="272">
        <f t="shared" si="3"/>
        <v>0</v>
      </c>
      <c r="L17" s="20"/>
    </row>
    <row r="18" spans="2:12" ht="30" customHeight="1" x14ac:dyDescent="0.25">
      <c r="B18" s="181" t="str">
        <f t="shared" si="4"/>
        <v>IEMD</v>
      </c>
      <c r="C18" s="181">
        <f>IF(ISTEXT(D18),MAX($C$4:$C17)+1,"")</f>
        <v>13</v>
      </c>
      <c r="D18" s="80" t="s">
        <v>11</v>
      </c>
      <c r="E18" s="180" t="s">
        <v>261</v>
      </c>
      <c r="F18" s="275" t="s">
        <v>43</v>
      </c>
      <c r="G18" s="224" t="s">
        <v>78</v>
      </c>
      <c r="H18" s="274">
        <f>COUNTIFS(D:D,"=Minimal",F:F,"=Select From Drop Down")</f>
        <v>30</v>
      </c>
      <c r="I18" s="272">
        <f t="shared" si="1"/>
        <v>1</v>
      </c>
      <c r="J18" s="273">
        <f t="shared" si="2"/>
        <v>0</v>
      </c>
      <c r="K18" s="272">
        <f t="shared" si="3"/>
        <v>0</v>
      </c>
      <c r="L18" s="20"/>
    </row>
    <row r="19" spans="2:12" ht="30" customHeight="1" x14ac:dyDescent="0.25">
      <c r="B19" s="181" t="str">
        <f t="shared" si="4"/>
        <v>IEMD</v>
      </c>
      <c r="C19" s="181">
        <f>IF(ISTEXT(D19),MAX($C$4:$C18)+1,"")</f>
        <v>14</v>
      </c>
      <c r="D19" s="80" t="s">
        <v>10</v>
      </c>
      <c r="E19" s="180" t="s">
        <v>262</v>
      </c>
      <c r="F19" s="275" t="s">
        <v>43</v>
      </c>
      <c r="G19" s="224" t="s">
        <v>80</v>
      </c>
      <c r="H19" s="274">
        <f>COUNTIFS(D:D,"=Minimal",F:F,"=Function Available")</f>
        <v>0</v>
      </c>
      <c r="I19" s="272">
        <f t="shared" si="1"/>
        <v>2</v>
      </c>
      <c r="J19" s="273">
        <f t="shared" si="2"/>
        <v>0</v>
      </c>
      <c r="K19" s="272">
        <f t="shared" si="3"/>
        <v>0</v>
      </c>
      <c r="L19" s="20"/>
    </row>
    <row r="20" spans="2:12" ht="30" customHeight="1" x14ac:dyDescent="0.25">
      <c r="B20" s="181" t="str">
        <f t="shared" si="4"/>
        <v>IEMD</v>
      </c>
      <c r="C20" s="181">
        <f>IF(ISTEXT(D20),MAX($C$4:$C19)+1,"")</f>
        <v>15</v>
      </c>
      <c r="D20" s="80" t="s">
        <v>10</v>
      </c>
      <c r="E20" s="180" t="s">
        <v>263</v>
      </c>
      <c r="F20" s="275" t="s">
        <v>43</v>
      </c>
      <c r="G20" s="224" t="s">
        <v>82</v>
      </c>
      <c r="H20" s="274">
        <f>COUNTIFS(D:D,"=Minimal",F:F,"=Function Not Available")</f>
        <v>0</v>
      </c>
      <c r="I20" s="272">
        <f t="shared" si="1"/>
        <v>2</v>
      </c>
      <c r="J20" s="273">
        <f t="shared" si="2"/>
        <v>0</v>
      </c>
      <c r="K20" s="272">
        <f t="shared" si="3"/>
        <v>0</v>
      </c>
      <c r="L20" s="20"/>
    </row>
    <row r="21" spans="2:12" ht="30" customHeight="1" x14ac:dyDescent="0.25">
      <c r="B21" s="181" t="str">
        <f t="shared" si="4"/>
        <v>IEMD</v>
      </c>
      <c r="C21" s="181">
        <f>IF(ISTEXT(D21),MAX($C$4:$C20)+1,"")</f>
        <v>16</v>
      </c>
      <c r="D21" s="80" t="s">
        <v>10</v>
      </c>
      <c r="E21" s="180" t="s">
        <v>264</v>
      </c>
      <c r="F21" s="275" t="s">
        <v>43</v>
      </c>
      <c r="G21" s="224" t="s">
        <v>83</v>
      </c>
      <c r="H21" s="274">
        <f>COUNTIFS(D:D,"=Minimal",F:F,"=Exception")</f>
        <v>0</v>
      </c>
      <c r="I21" s="272">
        <f t="shared" si="1"/>
        <v>2</v>
      </c>
      <c r="J21" s="273">
        <f t="shared" si="2"/>
        <v>0</v>
      </c>
      <c r="K21" s="272">
        <f t="shared" si="3"/>
        <v>0</v>
      </c>
      <c r="L21" s="20"/>
    </row>
    <row r="22" spans="2:12" ht="42.75" x14ac:dyDescent="0.25">
      <c r="B22" s="181" t="str">
        <f t="shared" si="4"/>
        <v>IEMD</v>
      </c>
      <c r="C22" s="181">
        <f>IF(ISTEXT(D22),MAX($C$4:$C21)+1,"")</f>
        <v>17</v>
      </c>
      <c r="D22" s="80" t="s">
        <v>11</v>
      </c>
      <c r="E22" s="180" t="s">
        <v>265</v>
      </c>
      <c r="F22" s="275" t="s">
        <v>43</v>
      </c>
      <c r="G22" s="224"/>
      <c r="H22" s="225"/>
      <c r="I22" s="272">
        <f t="shared" si="1"/>
        <v>1</v>
      </c>
      <c r="J22" s="273">
        <f t="shared" si="2"/>
        <v>0</v>
      </c>
      <c r="K22" s="272">
        <f t="shared" si="3"/>
        <v>0</v>
      </c>
      <c r="L22" s="20"/>
    </row>
    <row r="23" spans="2:12" ht="39.6" customHeight="1" x14ac:dyDescent="0.25">
      <c r="B23" s="181" t="str">
        <f t="shared" si="4"/>
        <v>IEMD</v>
      </c>
      <c r="C23" s="181">
        <f>IF(ISTEXT(D23),MAX($C$4:$C22)+1,"")</f>
        <v>18</v>
      </c>
      <c r="D23" s="80" t="s">
        <v>11</v>
      </c>
      <c r="E23" s="180" t="s">
        <v>266</v>
      </c>
      <c r="F23" s="275" t="s">
        <v>43</v>
      </c>
      <c r="G23" s="224"/>
      <c r="H23" s="225"/>
      <c r="I23" s="272">
        <f t="shared" si="1"/>
        <v>1</v>
      </c>
      <c r="J23" s="273">
        <f t="shared" si="2"/>
        <v>0</v>
      </c>
      <c r="K23" s="272">
        <f t="shared" si="3"/>
        <v>0</v>
      </c>
      <c r="L23" s="20"/>
    </row>
    <row r="24" spans="2:12" ht="45" customHeight="1" x14ac:dyDescent="0.25">
      <c r="B24" s="181" t="str">
        <f t="shared" si="4"/>
        <v>IEMD</v>
      </c>
      <c r="C24" s="181">
        <f>IF(ISTEXT(D24),MAX($C$4:$C23)+1,"")</f>
        <v>19</v>
      </c>
      <c r="D24" s="80" t="s">
        <v>11</v>
      </c>
      <c r="E24" s="180" t="s">
        <v>267</v>
      </c>
      <c r="F24" s="275" t="s">
        <v>43</v>
      </c>
      <c r="G24" s="224"/>
      <c r="H24" s="225"/>
      <c r="I24" s="272">
        <f t="shared" si="1"/>
        <v>1</v>
      </c>
      <c r="J24" s="273">
        <f t="shared" si="2"/>
        <v>0</v>
      </c>
      <c r="K24" s="272">
        <f t="shared" si="3"/>
        <v>0</v>
      </c>
      <c r="L24" s="20"/>
    </row>
    <row r="25" spans="2:12" ht="42.6" customHeight="1" x14ac:dyDescent="0.25">
      <c r="B25" s="181" t="str">
        <f t="shared" si="4"/>
        <v>IEMD</v>
      </c>
      <c r="C25" s="181">
        <f>IF(ISTEXT(D25),MAX($C$4:$C24)+1,"")</f>
        <v>20</v>
      </c>
      <c r="D25" s="80" t="s">
        <v>11</v>
      </c>
      <c r="E25" s="180" t="s">
        <v>268</v>
      </c>
      <c r="F25" s="275" t="s">
        <v>43</v>
      </c>
      <c r="G25" s="224"/>
      <c r="H25" s="225"/>
      <c r="I25" s="272">
        <f t="shared" si="1"/>
        <v>1</v>
      </c>
      <c r="J25" s="273">
        <f t="shared" si="2"/>
        <v>0</v>
      </c>
      <c r="K25" s="272">
        <f t="shared" si="3"/>
        <v>0</v>
      </c>
      <c r="L25" s="20"/>
    </row>
    <row r="26" spans="2:12" ht="45" customHeight="1" x14ac:dyDescent="0.25">
      <c r="B26" s="181" t="str">
        <f t="shared" si="4"/>
        <v>IEMD</v>
      </c>
      <c r="C26" s="181">
        <f>IF(ISTEXT(D26),MAX($C$4:$C25)+1,"")</f>
        <v>21</v>
      </c>
      <c r="D26" s="80" t="s">
        <v>9</v>
      </c>
      <c r="E26" s="180" t="s">
        <v>269</v>
      </c>
      <c r="F26" s="275" t="s">
        <v>43</v>
      </c>
      <c r="G26" s="241"/>
      <c r="H26" s="276"/>
      <c r="I26" s="272">
        <f t="shared" si="1"/>
        <v>3</v>
      </c>
      <c r="J26" s="273">
        <f t="shared" si="2"/>
        <v>0</v>
      </c>
      <c r="K26" s="272">
        <f t="shared" si="3"/>
        <v>0</v>
      </c>
      <c r="L26" s="20"/>
    </row>
    <row r="27" spans="2:12" ht="42" customHeight="1" x14ac:dyDescent="0.25">
      <c r="B27" s="181" t="str">
        <f t="shared" si="4"/>
        <v>IEMD</v>
      </c>
      <c r="C27" s="181">
        <f>IF(ISTEXT(D27),MAX($C$4:$C26)+1,"")</f>
        <v>22</v>
      </c>
      <c r="D27" s="80" t="s">
        <v>10</v>
      </c>
      <c r="E27" s="182" t="s">
        <v>270</v>
      </c>
      <c r="F27" s="275" t="s">
        <v>43</v>
      </c>
      <c r="G27" s="233"/>
      <c r="H27" s="277"/>
      <c r="I27" s="272">
        <f t="shared" si="1"/>
        <v>2</v>
      </c>
      <c r="J27" s="273">
        <f t="shared" si="2"/>
        <v>0</v>
      </c>
      <c r="K27" s="272">
        <f t="shared" si="3"/>
        <v>0</v>
      </c>
      <c r="L27" s="20"/>
    </row>
    <row r="28" spans="2:12" ht="51" customHeight="1" x14ac:dyDescent="0.25">
      <c r="B28" s="124" t="str">
        <f t="shared" si="0"/>
        <v/>
      </c>
      <c r="C28" s="125" t="str">
        <f>IF(ISTEXT(D28),MAX($C$4:$C27)+1,"")</f>
        <v/>
      </c>
      <c r="D28" s="126"/>
      <c r="E28" s="127" t="s">
        <v>548</v>
      </c>
      <c r="F28" s="128"/>
      <c r="G28" s="129"/>
      <c r="H28" s="129"/>
      <c r="I28" s="183"/>
      <c r="J28" s="183"/>
      <c r="K28" s="183"/>
      <c r="L28" s="129"/>
    </row>
    <row r="29" spans="2:12" ht="30" customHeight="1" x14ac:dyDescent="0.25">
      <c r="B29" s="78" t="str">
        <f t="shared" si="0"/>
        <v>IEMD</v>
      </c>
      <c r="C29" s="79">
        <f>IF(ISTEXT(D29),MAX($C$4:$C28)+1,"")</f>
        <v>23</v>
      </c>
      <c r="D29" s="80" t="s">
        <v>11</v>
      </c>
      <c r="E29" s="150" t="s">
        <v>569</v>
      </c>
      <c r="F29" s="223" t="s">
        <v>43</v>
      </c>
      <c r="G29" s="233"/>
      <c r="H29" s="255"/>
      <c r="I29" s="226">
        <f>VLOOKUP($D29,SpecData,2,FALSE)</f>
        <v>1</v>
      </c>
      <c r="J29" s="227">
        <f>VLOOKUP($F29,AvailabilityData,2,FALSE)</f>
        <v>0</v>
      </c>
      <c r="K29" s="228">
        <f t="shared" ref="K29:K32" si="5">I29*J29</f>
        <v>0</v>
      </c>
      <c r="L29" s="25"/>
    </row>
    <row r="30" spans="2:12" ht="30" customHeight="1" x14ac:dyDescent="0.25">
      <c r="B30" s="78" t="str">
        <f t="shared" si="0"/>
        <v>IEMD</v>
      </c>
      <c r="C30" s="79">
        <f>IF(ISTEXT(D30),MAX($C$4:$C29)+1,"")</f>
        <v>24</v>
      </c>
      <c r="D30" s="80" t="s">
        <v>11</v>
      </c>
      <c r="E30" s="151" t="s">
        <v>570</v>
      </c>
      <c r="F30" s="223" t="s">
        <v>43</v>
      </c>
      <c r="G30" s="224"/>
      <c r="H30" s="231"/>
      <c r="I30" s="235">
        <f>VLOOKUP($D30,SpecData,2,FALSE)</f>
        <v>1</v>
      </c>
      <c r="J30" s="236">
        <f>VLOOKUP($F30,AvailabilityData,2,FALSE)</f>
        <v>0</v>
      </c>
      <c r="K30" s="250">
        <f t="shared" si="5"/>
        <v>0</v>
      </c>
      <c r="L30" s="20"/>
    </row>
    <row r="31" spans="2:12" ht="30" customHeight="1" x14ac:dyDescent="0.25">
      <c r="B31" s="78" t="str">
        <f t="shared" si="0"/>
        <v>IEMD</v>
      </c>
      <c r="C31" s="79">
        <f>IF(ISTEXT(D31),MAX($C$4:$C30)+1,"")</f>
        <v>25</v>
      </c>
      <c r="D31" s="80" t="s">
        <v>11</v>
      </c>
      <c r="E31" s="151" t="s">
        <v>116</v>
      </c>
      <c r="F31" s="223" t="s">
        <v>43</v>
      </c>
      <c r="G31" s="224"/>
      <c r="H31" s="231"/>
      <c r="I31" s="235">
        <f>VLOOKUP($D31,SpecData,2,FALSE)</f>
        <v>1</v>
      </c>
      <c r="J31" s="236">
        <f>VLOOKUP($F31,AvailabilityData,2,FALSE)</f>
        <v>0</v>
      </c>
      <c r="K31" s="250">
        <f t="shared" si="5"/>
        <v>0</v>
      </c>
      <c r="L31" s="20"/>
    </row>
    <row r="32" spans="2:12" ht="30" customHeight="1" x14ac:dyDescent="0.25">
      <c r="B32" s="78" t="str">
        <f t="shared" si="0"/>
        <v>IEMD</v>
      </c>
      <c r="C32" s="79">
        <f>IF(ISTEXT(D32),MAX($C$4:$C31)+1,"")</f>
        <v>26</v>
      </c>
      <c r="D32" s="80" t="s">
        <v>11</v>
      </c>
      <c r="E32" s="151" t="s">
        <v>571</v>
      </c>
      <c r="F32" s="223" t="s">
        <v>43</v>
      </c>
      <c r="G32" s="224"/>
      <c r="H32" s="231"/>
      <c r="I32" s="235">
        <f>VLOOKUP($D32,SpecData,2,FALSE)</f>
        <v>1</v>
      </c>
      <c r="J32" s="236">
        <f>VLOOKUP($F32,AvailabilityData,2,FALSE)</f>
        <v>0</v>
      </c>
      <c r="K32" s="250">
        <f t="shared" si="5"/>
        <v>0</v>
      </c>
      <c r="L32" s="20"/>
    </row>
    <row r="33" spans="2:12" ht="52.9" customHeight="1" x14ac:dyDescent="0.25">
      <c r="B33" s="124" t="str">
        <f t="shared" si="0"/>
        <v/>
      </c>
      <c r="C33" s="125" t="str">
        <f>IF(ISTEXT(D33),MAX($C$4:$C32)+1,"")</f>
        <v/>
      </c>
      <c r="D33" s="126"/>
      <c r="E33" s="127" t="s">
        <v>549</v>
      </c>
      <c r="F33" s="128"/>
      <c r="G33" s="129"/>
      <c r="H33" s="129"/>
      <c r="I33" s="129"/>
      <c r="J33" s="129"/>
      <c r="K33" s="129"/>
      <c r="L33" s="129"/>
    </row>
    <row r="34" spans="2:12" ht="30" customHeight="1" x14ac:dyDescent="0.25">
      <c r="B34" s="78" t="str">
        <f t="shared" si="0"/>
        <v>IEMD</v>
      </c>
      <c r="C34" s="79">
        <f>IF(ISTEXT(D34),MAX($C$4:$C33)+1,"")</f>
        <v>27</v>
      </c>
      <c r="D34" s="80" t="s">
        <v>11</v>
      </c>
      <c r="E34" s="151" t="s">
        <v>572</v>
      </c>
      <c r="F34" s="223" t="s">
        <v>43</v>
      </c>
      <c r="G34" s="278"/>
      <c r="H34" s="279"/>
      <c r="I34" s="280">
        <f t="shared" ref="I34:I39" si="6">VLOOKUP($D34,SpecData,2,FALSE)</f>
        <v>1</v>
      </c>
      <c r="J34" s="281">
        <f t="shared" ref="J34:J39" si="7">VLOOKUP($F34,AvailabilityData,2,FALSE)</f>
        <v>0</v>
      </c>
      <c r="K34" s="282">
        <f>I34*J34</f>
        <v>0</v>
      </c>
      <c r="L34" s="20"/>
    </row>
    <row r="35" spans="2:12" ht="30" customHeight="1" x14ac:dyDescent="0.25">
      <c r="B35" s="78" t="str">
        <f t="shared" si="0"/>
        <v>IEMD</v>
      </c>
      <c r="C35" s="79">
        <f>IF(ISTEXT(D35),MAX($C$4:$C34)+1,"")</f>
        <v>28</v>
      </c>
      <c r="D35" s="80" t="s">
        <v>11</v>
      </c>
      <c r="E35" s="151" t="s">
        <v>573</v>
      </c>
      <c r="F35" s="223" t="s">
        <v>43</v>
      </c>
      <c r="G35" s="224"/>
      <c r="H35" s="231"/>
      <c r="I35" s="235">
        <f t="shared" si="6"/>
        <v>1</v>
      </c>
      <c r="J35" s="236">
        <f t="shared" si="7"/>
        <v>0</v>
      </c>
      <c r="K35" s="250">
        <f t="shared" ref="K35:K39" si="8">I35*J35</f>
        <v>0</v>
      </c>
      <c r="L35" s="20"/>
    </row>
    <row r="36" spans="2:12" ht="30" customHeight="1" x14ac:dyDescent="0.25">
      <c r="B36" s="78" t="str">
        <f t="shared" si="0"/>
        <v>IEMD</v>
      </c>
      <c r="C36" s="79">
        <f>IF(ISTEXT(D36),MAX($C$4:$C35)+1,"")</f>
        <v>29</v>
      </c>
      <c r="D36" s="80" t="s">
        <v>11</v>
      </c>
      <c r="E36" s="151" t="s">
        <v>574</v>
      </c>
      <c r="F36" s="223" t="s">
        <v>43</v>
      </c>
      <c r="G36" s="224"/>
      <c r="H36" s="231"/>
      <c r="I36" s="235">
        <f t="shared" si="6"/>
        <v>1</v>
      </c>
      <c r="J36" s="236">
        <f t="shared" si="7"/>
        <v>0</v>
      </c>
      <c r="K36" s="250">
        <f t="shared" si="8"/>
        <v>0</v>
      </c>
      <c r="L36" s="20"/>
    </row>
    <row r="37" spans="2:12" ht="30" customHeight="1" x14ac:dyDescent="0.25">
      <c r="B37" s="78" t="str">
        <f t="shared" si="0"/>
        <v>IEMD</v>
      </c>
      <c r="C37" s="79">
        <f>IF(ISTEXT(D37),MAX($C$4:$C36)+1,"")</f>
        <v>30</v>
      </c>
      <c r="D37" s="80" t="s">
        <v>11</v>
      </c>
      <c r="E37" s="151" t="s">
        <v>575</v>
      </c>
      <c r="F37" s="223" t="s">
        <v>43</v>
      </c>
      <c r="G37" s="224"/>
      <c r="H37" s="231"/>
      <c r="I37" s="235">
        <f t="shared" si="6"/>
        <v>1</v>
      </c>
      <c r="J37" s="236">
        <f t="shared" si="7"/>
        <v>0</v>
      </c>
      <c r="K37" s="250">
        <f t="shared" si="8"/>
        <v>0</v>
      </c>
      <c r="L37" s="20"/>
    </row>
    <row r="38" spans="2:12" ht="30" customHeight="1" x14ac:dyDescent="0.25">
      <c r="B38" s="78" t="str">
        <f t="shared" si="0"/>
        <v>IEMD</v>
      </c>
      <c r="C38" s="79">
        <f>IF(ISTEXT(D38),MAX($C$4:$C37)+1,"")</f>
        <v>31</v>
      </c>
      <c r="D38" s="80" t="s">
        <v>11</v>
      </c>
      <c r="E38" s="151" t="s">
        <v>576</v>
      </c>
      <c r="F38" s="223" t="s">
        <v>43</v>
      </c>
      <c r="G38" s="224"/>
      <c r="H38" s="231"/>
      <c r="I38" s="235">
        <f t="shared" si="6"/>
        <v>1</v>
      </c>
      <c r="J38" s="236">
        <f t="shared" si="7"/>
        <v>0</v>
      </c>
      <c r="K38" s="250">
        <f t="shared" si="8"/>
        <v>0</v>
      </c>
      <c r="L38" s="20"/>
    </row>
    <row r="39" spans="2:12" ht="30" customHeight="1" x14ac:dyDescent="0.25">
      <c r="B39" s="78" t="str">
        <f t="shared" si="0"/>
        <v>IEMD</v>
      </c>
      <c r="C39" s="79">
        <f>IF(ISTEXT(D39),MAX($C$4:$C38)+1,"")</f>
        <v>32</v>
      </c>
      <c r="D39" s="80" t="s">
        <v>11</v>
      </c>
      <c r="E39" s="151" t="s">
        <v>577</v>
      </c>
      <c r="F39" s="223" t="s">
        <v>43</v>
      </c>
      <c r="G39" s="224"/>
      <c r="H39" s="231"/>
      <c r="I39" s="235">
        <f t="shared" si="6"/>
        <v>1</v>
      </c>
      <c r="J39" s="236">
        <f t="shared" si="7"/>
        <v>0</v>
      </c>
      <c r="K39" s="250">
        <f t="shared" si="8"/>
        <v>0</v>
      </c>
      <c r="L39" s="21"/>
    </row>
    <row r="40" spans="2:12" ht="30" customHeight="1" x14ac:dyDescent="0.25">
      <c r="B40" s="78" t="str">
        <f t="shared" si="0"/>
        <v>IEMD</v>
      </c>
      <c r="C40" s="79">
        <f>IF(ISTEXT(D40),MAX($C$4:$C39)+1,"")</f>
        <v>33</v>
      </c>
      <c r="D40" s="80" t="s">
        <v>11</v>
      </c>
      <c r="E40" s="151" t="s">
        <v>578</v>
      </c>
      <c r="F40" s="223" t="s">
        <v>43</v>
      </c>
      <c r="G40" s="224"/>
      <c r="H40" s="231"/>
      <c r="I40" s="235">
        <f t="shared" ref="I40:I51" si="9">VLOOKUP($D40,SpecData,2,FALSE)</f>
        <v>1</v>
      </c>
      <c r="J40" s="236">
        <f t="shared" ref="J40:J51" si="10">VLOOKUP($F40,AvailabilityData,2,FALSE)</f>
        <v>0</v>
      </c>
      <c r="K40" s="250">
        <f>I40*J40</f>
        <v>0</v>
      </c>
      <c r="L40" s="20"/>
    </row>
    <row r="41" spans="2:12" ht="30" customHeight="1" x14ac:dyDescent="0.25">
      <c r="B41" s="78" t="str">
        <f t="shared" si="0"/>
        <v>IEMD</v>
      </c>
      <c r="C41" s="79">
        <f>IF(ISTEXT(D41),MAX($C$4:$C40)+1,"")</f>
        <v>34</v>
      </c>
      <c r="D41" s="80" t="s">
        <v>11</v>
      </c>
      <c r="E41" s="151" t="s">
        <v>579</v>
      </c>
      <c r="F41" s="223" t="s">
        <v>43</v>
      </c>
      <c r="G41" s="224"/>
      <c r="H41" s="231"/>
      <c r="I41" s="235">
        <f t="shared" si="9"/>
        <v>1</v>
      </c>
      <c r="J41" s="236">
        <f t="shared" si="10"/>
        <v>0</v>
      </c>
      <c r="K41" s="250">
        <f t="shared" ref="K41:K45" si="11">I41*J41</f>
        <v>0</v>
      </c>
      <c r="L41" s="20"/>
    </row>
    <row r="42" spans="2:12" ht="30" customHeight="1" x14ac:dyDescent="0.25">
      <c r="B42" s="78" t="str">
        <f t="shared" si="0"/>
        <v>IEMD</v>
      </c>
      <c r="C42" s="79">
        <f>IF(ISTEXT(D42),MAX($C$4:$C41)+1,"")</f>
        <v>35</v>
      </c>
      <c r="D42" s="80" t="s">
        <v>11</v>
      </c>
      <c r="E42" s="176" t="s">
        <v>580</v>
      </c>
      <c r="F42" s="223" t="s">
        <v>43</v>
      </c>
      <c r="G42" s="224"/>
      <c r="H42" s="231"/>
      <c r="I42" s="235">
        <f t="shared" si="9"/>
        <v>1</v>
      </c>
      <c r="J42" s="236">
        <f t="shared" si="10"/>
        <v>0</v>
      </c>
      <c r="K42" s="250">
        <f t="shared" si="11"/>
        <v>0</v>
      </c>
      <c r="L42" s="20"/>
    </row>
    <row r="43" spans="2:12" ht="46.9" customHeight="1" x14ac:dyDescent="0.25">
      <c r="B43" s="124" t="str">
        <f t="shared" si="0"/>
        <v/>
      </c>
      <c r="C43" s="125" t="str">
        <f>IF(ISTEXT(D43),MAX($C$4:$C42)+1,"")</f>
        <v/>
      </c>
      <c r="D43" s="126"/>
      <c r="E43" s="127" t="s">
        <v>550</v>
      </c>
      <c r="F43" s="128"/>
      <c r="G43" s="129"/>
      <c r="H43" s="129"/>
      <c r="I43" s="129"/>
      <c r="J43" s="129"/>
      <c r="K43" s="129"/>
      <c r="L43" s="129"/>
    </row>
    <row r="44" spans="2:12" ht="30" customHeight="1" x14ac:dyDescent="0.25">
      <c r="B44" s="78" t="str">
        <f t="shared" si="0"/>
        <v>IEMD</v>
      </c>
      <c r="C44" s="79">
        <f>IF(ISTEXT(D44),MAX($C$4:$C43)+1,"")</f>
        <v>36</v>
      </c>
      <c r="D44" s="80" t="s">
        <v>11</v>
      </c>
      <c r="E44" s="150" t="s">
        <v>581</v>
      </c>
      <c r="F44" s="223" t="s">
        <v>43</v>
      </c>
      <c r="G44" s="224"/>
      <c r="H44" s="231"/>
      <c r="I44" s="235">
        <f t="shared" si="9"/>
        <v>1</v>
      </c>
      <c r="J44" s="236">
        <f t="shared" si="10"/>
        <v>0</v>
      </c>
      <c r="K44" s="250">
        <f t="shared" si="11"/>
        <v>0</v>
      </c>
      <c r="L44" s="20"/>
    </row>
    <row r="45" spans="2:12" ht="30" customHeight="1" x14ac:dyDescent="0.25">
      <c r="B45" s="78" t="str">
        <f t="shared" si="0"/>
        <v>IEMD</v>
      </c>
      <c r="C45" s="79">
        <f>IF(ISTEXT(D45),MAX($C$4:$C44)+1,"")</f>
        <v>37</v>
      </c>
      <c r="D45" s="80" t="s">
        <v>11</v>
      </c>
      <c r="E45" s="151" t="s">
        <v>582</v>
      </c>
      <c r="F45" s="223" t="s">
        <v>43</v>
      </c>
      <c r="G45" s="224"/>
      <c r="H45" s="231"/>
      <c r="I45" s="235">
        <f t="shared" si="9"/>
        <v>1</v>
      </c>
      <c r="J45" s="236">
        <f t="shared" si="10"/>
        <v>0</v>
      </c>
      <c r="K45" s="250">
        <f t="shared" si="11"/>
        <v>0</v>
      </c>
      <c r="L45" s="20"/>
    </row>
    <row r="46" spans="2:12" ht="30" customHeight="1" x14ac:dyDescent="0.25">
      <c r="B46" s="78" t="str">
        <f t="shared" si="0"/>
        <v>IEMD</v>
      </c>
      <c r="C46" s="79">
        <f>IF(ISTEXT(D46),MAX($C$4:$C45)+1,"")</f>
        <v>38</v>
      </c>
      <c r="D46" s="80" t="s">
        <v>11</v>
      </c>
      <c r="E46" s="151" t="s">
        <v>583</v>
      </c>
      <c r="F46" s="223" t="s">
        <v>43</v>
      </c>
      <c r="G46" s="233"/>
      <c r="H46" s="255"/>
      <c r="I46" s="226">
        <f t="shared" si="9"/>
        <v>1</v>
      </c>
      <c r="J46" s="227">
        <f t="shared" si="10"/>
        <v>0</v>
      </c>
      <c r="K46" s="228">
        <f>I46*J46</f>
        <v>0</v>
      </c>
      <c r="L46" s="20"/>
    </row>
    <row r="47" spans="2:12" ht="30" customHeight="1" x14ac:dyDescent="0.25">
      <c r="B47" s="78" t="str">
        <f t="shared" si="0"/>
        <v>IEMD</v>
      </c>
      <c r="C47" s="79">
        <f>IF(ISTEXT(D47),MAX($C$4:$C46)+1,"")</f>
        <v>39</v>
      </c>
      <c r="D47" s="80" t="s">
        <v>11</v>
      </c>
      <c r="E47" s="89" t="s">
        <v>271</v>
      </c>
      <c r="F47" s="223" t="s">
        <v>43</v>
      </c>
      <c r="G47" s="224"/>
      <c r="H47" s="231"/>
      <c r="I47" s="235">
        <f t="shared" si="9"/>
        <v>1</v>
      </c>
      <c r="J47" s="236">
        <f t="shared" si="10"/>
        <v>0</v>
      </c>
      <c r="K47" s="250">
        <f t="shared" ref="K47:K51" si="12">I47*J47</f>
        <v>0</v>
      </c>
      <c r="L47" s="20"/>
    </row>
    <row r="48" spans="2:12" ht="30" customHeight="1" x14ac:dyDescent="0.25">
      <c r="B48" s="78" t="str">
        <f t="shared" si="0"/>
        <v>IEMD</v>
      </c>
      <c r="C48" s="79">
        <f>IF(ISTEXT(D48),MAX($C$4:$C47)+1,"")</f>
        <v>40</v>
      </c>
      <c r="D48" s="80" t="s">
        <v>11</v>
      </c>
      <c r="E48" s="89" t="s">
        <v>272</v>
      </c>
      <c r="F48" s="223" t="s">
        <v>43</v>
      </c>
      <c r="G48" s="224"/>
      <c r="H48" s="231"/>
      <c r="I48" s="235">
        <f t="shared" si="9"/>
        <v>1</v>
      </c>
      <c r="J48" s="236">
        <f t="shared" si="10"/>
        <v>0</v>
      </c>
      <c r="K48" s="250">
        <f t="shared" si="12"/>
        <v>0</v>
      </c>
      <c r="L48" s="20"/>
    </row>
    <row r="49" spans="2:12" ht="48" customHeight="1" x14ac:dyDescent="0.25">
      <c r="B49" s="78" t="str">
        <f t="shared" si="0"/>
        <v>IEMD</v>
      </c>
      <c r="C49" s="79">
        <f>IF(ISTEXT(D49),MAX($C$4:$C48)+1,"")</f>
        <v>41</v>
      </c>
      <c r="D49" s="80" t="s">
        <v>11</v>
      </c>
      <c r="E49" s="89" t="s">
        <v>273</v>
      </c>
      <c r="F49" s="223" t="s">
        <v>43</v>
      </c>
      <c r="G49" s="224"/>
      <c r="H49" s="231"/>
      <c r="I49" s="235">
        <f t="shared" si="9"/>
        <v>1</v>
      </c>
      <c r="J49" s="236">
        <f t="shared" si="10"/>
        <v>0</v>
      </c>
      <c r="K49" s="250">
        <f t="shared" si="12"/>
        <v>0</v>
      </c>
      <c r="L49" s="20"/>
    </row>
    <row r="50" spans="2:12" ht="45" customHeight="1" x14ac:dyDescent="0.25">
      <c r="B50" s="78" t="str">
        <f t="shared" si="0"/>
        <v>IEMD</v>
      </c>
      <c r="C50" s="79">
        <f>IF(ISTEXT(D50),MAX($C$4:$C49)+1,"")</f>
        <v>42</v>
      </c>
      <c r="D50" s="80" t="s">
        <v>11</v>
      </c>
      <c r="E50" s="89" t="s">
        <v>274</v>
      </c>
      <c r="F50" s="223" t="s">
        <v>43</v>
      </c>
      <c r="G50" s="224"/>
      <c r="H50" s="231"/>
      <c r="I50" s="235">
        <f t="shared" si="9"/>
        <v>1</v>
      </c>
      <c r="J50" s="236">
        <f t="shared" si="10"/>
        <v>0</v>
      </c>
      <c r="K50" s="250">
        <f t="shared" si="12"/>
        <v>0</v>
      </c>
      <c r="L50" s="20"/>
    </row>
    <row r="51" spans="2:12" ht="45" customHeight="1" x14ac:dyDescent="0.25">
      <c r="B51" s="152" t="str">
        <f t="shared" si="0"/>
        <v>IEMD</v>
      </c>
      <c r="C51" s="153">
        <f>IF(ISTEXT(D51),MAX($C$4:$C50)+1,"")</f>
        <v>43</v>
      </c>
      <c r="D51" s="80" t="s">
        <v>11</v>
      </c>
      <c r="E51" s="81" t="s">
        <v>275</v>
      </c>
      <c r="F51" s="223" t="s">
        <v>43</v>
      </c>
      <c r="G51" s="241"/>
      <c r="H51" s="242"/>
      <c r="I51" s="238">
        <f t="shared" si="9"/>
        <v>1</v>
      </c>
      <c r="J51" s="239">
        <f t="shared" si="10"/>
        <v>0</v>
      </c>
      <c r="K51" s="254">
        <f t="shared" si="12"/>
        <v>0</v>
      </c>
      <c r="L51" s="21"/>
    </row>
    <row r="52" spans="2:12" ht="8.25" customHeight="1" x14ac:dyDescent="0.25"/>
    <row r="53" spans="2:12" x14ac:dyDescent="0.25"/>
    <row r="54" spans="2:12" x14ac:dyDescent="0.25"/>
  </sheetData>
  <sheetProtection algorithmName="SHA-512" hashValue="BKRVav4ICJAqGwWpq6OyPpPX+4p+8KHgcUqdgQZL0obn364i4Sxgx+mk5Ml+9WRjo4D7K4z+NIr1zT2nCR1d8A==" saltValue="AECx2OP8w3IM3i+f/QaZGQ==" spinCount="100000" sheet="1" selectLockedCells="1"/>
  <conditionalFormatting sqref="D4:D6">
    <cfRule type="cellIs" dxfId="125" priority="55" operator="equal">
      <formula>"Important"</formula>
    </cfRule>
    <cfRule type="cellIs" dxfId="124" priority="56" operator="equal">
      <formula>"Crucial"</formula>
    </cfRule>
    <cfRule type="cellIs" dxfId="123" priority="57" operator="equal">
      <formula>"N/A"</formula>
    </cfRule>
  </conditionalFormatting>
  <conditionalFormatting sqref="D8:D11">
    <cfRule type="cellIs" dxfId="122" priority="19" operator="equal">
      <formula>"Important"</formula>
    </cfRule>
    <cfRule type="cellIs" dxfId="121" priority="20" operator="equal">
      <formula>"Crucial"</formula>
    </cfRule>
    <cfRule type="cellIs" dxfId="120" priority="21" operator="equal">
      <formula>"N/A"</formula>
    </cfRule>
  </conditionalFormatting>
  <conditionalFormatting sqref="D13:D27">
    <cfRule type="cellIs" dxfId="119" priority="10" operator="equal">
      <formula>"Important"</formula>
    </cfRule>
    <cfRule type="cellIs" dxfId="118" priority="11" operator="equal">
      <formula>"Crucial"</formula>
    </cfRule>
    <cfRule type="cellIs" dxfId="117" priority="12" operator="equal">
      <formula>"N/A"</formula>
    </cfRule>
  </conditionalFormatting>
  <conditionalFormatting sqref="D29:D32">
    <cfRule type="cellIs" dxfId="116" priority="7" operator="equal">
      <formula>"Important"</formula>
    </cfRule>
    <cfRule type="cellIs" dxfId="115" priority="8" operator="equal">
      <formula>"Crucial"</formula>
    </cfRule>
    <cfRule type="cellIs" dxfId="114" priority="9" operator="equal">
      <formula>"N/A"</formula>
    </cfRule>
  </conditionalFormatting>
  <conditionalFormatting sqref="D34:D42">
    <cfRule type="cellIs" dxfId="113" priority="4" operator="equal">
      <formula>"Important"</formula>
    </cfRule>
    <cfRule type="cellIs" dxfId="112" priority="5" operator="equal">
      <formula>"Crucial"</formula>
    </cfRule>
    <cfRule type="cellIs" dxfId="111" priority="6" operator="equal">
      <formula>"N/A"</formula>
    </cfRule>
  </conditionalFormatting>
  <conditionalFormatting sqref="D44:D51">
    <cfRule type="cellIs" dxfId="110" priority="1" operator="equal">
      <formula>"Important"</formula>
    </cfRule>
    <cfRule type="cellIs" dxfId="109" priority="2" operator="equal">
      <formula>"Crucial"</formula>
    </cfRule>
    <cfRule type="cellIs" dxfId="108" priority="3" operator="equal">
      <formula>"N/A"</formula>
    </cfRule>
  </conditionalFormatting>
  <conditionalFormatting sqref="F4:F51">
    <cfRule type="cellIs" dxfId="107" priority="64" operator="equal">
      <formula>"Function Not Available"</formula>
    </cfRule>
    <cfRule type="cellIs" dxfId="106" priority="65" operator="equal">
      <formula>"Function Available"</formula>
    </cfRule>
    <cfRule type="cellIs" dxfId="105" priority="66" operator="equal">
      <formula>"Exception"</formula>
    </cfRule>
  </conditionalFormatting>
  <dataValidations count="3">
    <dataValidation type="list" allowBlank="1" showInputMessage="1" showErrorMessage="1" errorTitle="Invalid specification type" error="Please enter a Specification type from the drop-down list." sqref="F6 F8:F11 F29:F32 F34:F42 F44:F51 F13:F27" xr:uid="{00000000-0002-0000-0C00-000000000000}">
      <formula1>AvailabilityType</formula1>
    </dataValidation>
    <dataValidation type="list" allowBlank="1" showInputMessage="1" showErrorMessage="1" errorTitle="Invalid specification type" error="Please enter a Specification type from the drop-down list." sqref="D34:D42 D4:D6 D8:D11 D13:D27 D29:D32 D44:D51" xr:uid="{ABD758BC-17EC-49A2-81DE-3F4543E25859}">
      <formula1>SpecType</formula1>
    </dataValidation>
    <dataValidation type="list" allowBlank="1" showInputMessage="1" showErrorMessage="1" sqref="F4:F5" xr:uid="{00000000-0002-0000-0C00-000003000000}">
      <formula1>AvailabilityType</formula1>
    </dataValidation>
  </dataValidations>
  <pageMargins left="0.7" right="0.7" top="0.75" bottom="0.75" header="0.3" footer="0.3"/>
  <pageSetup scale="47" fitToHeight="0" orientation="portrait" r:id="rId1"/>
  <headerFooter>
    <oddHeader>&amp;CGCCDA
&amp;F&amp;R&amp;A</oddHeader>
    <oddFooter>&amp;LTSSI Consulting LLC, March 2026&amp;CPage &amp;P of &amp;N</oddFooter>
  </headerFooter>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rgb="FFFFCC00"/>
    <pageSetUpPr fitToPage="1"/>
  </sheetPr>
  <dimension ref="A1:M24"/>
  <sheetViews>
    <sheetView showGridLines="0" zoomScale="80" zoomScaleNormal="80" zoomScalePageLayoutView="40" workbookViewId="0">
      <selection activeCell="F4" sqref="F4"/>
    </sheetView>
  </sheetViews>
  <sheetFormatPr defaultColWidth="0" defaultRowHeight="15" zeroHeight="1" x14ac:dyDescent="0.25"/>
  <cols>
    <col min="1" max="1" width="1" customWidth="1"/>
    <col min="2" max="2" width="11.7109375" customWidth="1"/>
    <col min="3" max="3" width="11.42578125" customWidth="1"/>
    <col min="4" max="4" width="23.28515625" customWidth="1"/>
    <col min="5" max="5" width="65.7109375" style="63" customWidth="1"/>
    <col min="6" max="6" width="28.7109375" customWidth="1"/>
    <col min="7" max="7" width="15.42578125" style="64" hidden="1" customWidth="1"/>
    <col min="8" max="11" width="12.7109375" hidden="1" customWidth="1"/>
    <col min="12" max="12" width="49.42578125" customWidth="1"/>
    <col min="13" max="13" width="2" customWidth="1"/>
    <col min="14" max="16384" width="9.28515625" hidden="1"/>
  </cols>
  <sheetData>
    <row r="1" spans="2:12" ht="5.65" customHeight="1" x14ac:dyDescent="0.25"/>
    <row r="2" spans="2:12" s="71" customFormat="1" ht="129" customHeight="1" thickBot="1" x14ac:dyDescent="0.25">
      <c r="B2" s="65" t="s">
        <v>44</v>
      </c>
      <c r="C2" s="66" t="s">
        <v>45</v>
      </c>
      <c r="D2" s="66" t="s">
        <v>46</v>
      </c>
      <c r="E2" s="66" t="s">
        <v>276</v>
      </c>
      <c r="F2" s="66" t="s">
        <v>42</v>
      </c>
      <c r="G2" s="67" t="s">
        <v>48</v>
      </c>
      <c r="H2" s="67" t="s">
        <v>49</v>
      </c>
      <c r="I2" s="68" t="s">
        <v>50</v>
      </c>
      <c r="J2" s="68" t="s">
        <v>51</v>
      </c>
      <c r="K2" s="69" t="s">
        <v>14</v>
      </c>
      <c r="L2" s="70" t="s">
        <v>52</v>
      </c>
    </row>
    <row r="3" spans="2:12" ht="16.5" thickBot="1" x14ac:dyDescent="0.3">
      <c r="B3" s="72" t="s">
        <v>277</v>
      </c>
      <c r="C3" s="72"/>
      <c r="D3" s="72"/>
      <c r="E3" s="72"/>
      <c r="F3" s="72"/>
      <c r="G3" s="73" t="s">
        <v>54</v>
      </c>
      <c r="H3" s="74">
        <f>COUNTA(D4:D501)</f>
        <v>19</v>
      </c>
      <c r="I3" s="75"/>
      <c r="J3" s="76" t="s">
        <v>55</v>
      </c>
      <c r="K3" s="77">
        <f>SUM(K4:K501)</f>
        <v>0</v>
      </c>
      <c r="L3" s="72"/>
    </row>
    <row r="4" spans="2:12" ht="30" customHeight="1" x14ac:dyDescent="0.25">
      <c r="B4" s="78" t="s">
        <v>278</v>
      </c>
      <c r="C4" s="79">
        <v>1</v>
      </c>
      <c r="D4" s="80" t="s">
        <v>9</v>
      </c>
      <c r="E4" s="81" t="s">
        <v>661</v>
      </c>
      <c r="F4" s="223" t="s">
        <v>43</v>
      </c>
      <c r="G4" s="224" t="s">
        <v>57</v>
      </c>
      <c r="H4" s="225">
        <f>COUNTIF(F4:F501,"Select from Drop Down")</f>
        <v>19</v>
      </c>
      <c r="I4" s="226">
        <f>VLOOKUP($D4,SpecData,2,FALSE)</f>
        <v>3</v>
      </c>
      <c r="J4" s="227">
        <f>VLOOKUP($F4,AvailabilityData,2,FALSE)</f>
        <v>0</v>
      </c>
      <c r="K4" s="228">
        <f>I4*J4</f>
        <v>0</v>
      </c>
      <c r="L4" s="20"/>
    </row>
    <row r="5" spans="2:12" ht="30" customHeight="1" x14ac:dyDescent="0.25">
      <c r="B5" s="78" t="str">
        <f>IF(C5="","",$B$4)</f>
        <v>IE911</v>
      </c>
      <c r="C5" s="79">
        <v>2</v>
      </c>
      <c r="D5" s="80" t="s">
        <v>9</v>
      </c>
      <c r="E5" s="89" t="s">
        <v>279</v>
      </c>
      <c r="F5" s="223" t="s">
        <v>43</v>
      </c>
      <c r="G5" s="224" t="s">
        <v>59</v>
      </c>
      <c r="H5" s="225">
        <f>COUNTIF(F4:F501,"Function Available")</f>
        <v>0</v>
      </c>
      <c r="I5" s="226">
        <f>VLOOKUP($D5,SpecData,2,FALSE)</f>
        <v>3</v>
      </c>
      <c r="J5" s="227">
        <f>VLOOKUP($F5,AvailabilityData,2,FALSE)</f>
        <v>0</v>
      </c>
      <c r="K5" s="228">
        <f>I5*J5</f>
        <v>0</v>
      </c>
      <c r="L5" s="20"/>
    </row>
    <row r="6" spans="2:12" ht="30" customHeight="1" x14ac:dyDescent="0.25">
      <c r="B6" s="78" t="str">
        <f t="shared" ref="B6:B23" si="0">IF(C6="","",$B$4)</f>
        <v>IE911</v>
      </c>
      <c r="C6" s="79">
        <v>3</v>
      </c>
      <c r="D6" s="80" t="s">
        <v>9</v>
      </c>
      <c r="E6" s="184" t="s">
        <v>280</v>
      </c>
      <c r="F6" s="223" t="s">
        <v>43</v>
      </c>
      <c r="G6" s="224" t="s">
        <v>61</v>
      </c>
      <c r="H6" s="231">
        <f>COUNTIF(F4:F501,"Function Not Available")</f>
        <v>0</v>
      </c>
      <c r="I6" s="226">
        <f t="shared" ref="I6:I13" si="1">VLOOKUP($D6,SpecData,2,FALSE)</f>
        <v>3</v>
      </c>
      <c r="J6" s="227">
        <f t="shared" ref="J6:J13" si="2">VLOOKUP($F6,AvailabilityData,2,FALSE)</f>
        <v>0</v>
      </c>
      <c r="K6" s="250">
        <f t="shared" ref="K6:K13" si="3">I6*J6</f>
        <v>0</v>
      </c>
      <c r="L6" s="20"/>
    </row>
    <row r="7" spans="2:12" ht="30" customHeight="1" x14ac:dyDescent="0.25">
      <c r="B7" s="78" t="str">
        <f t="shared" si="0"/>
        <v>IE911</v>
      </c>
      <c r="C7" s="79">
        <f>IF(ISTEXT(D7),MAX($C$6:$C6)+1,"")</f>
        <v>4</v>
      </c>
      <c r="D7" s="80" t="s">
        <v>9</v>
      </c>
      <c r="E7" s="89" t="s">
        <v>281</v>
      </c>
      <c r="F7" s="223" t="s">
        <v>43</v>
      </c>
      <c r="G7" s="224" t="s">
        <v>63</v>
      </c>
      <c r="H7" s="231">
        <f>COUNTIF(F4:F501,"Exception")</f>
        <v>0</v>
      </c>
      <c r="I7" s="226">
        <f t="shared" si="1"/>
        <v>3</v>
      </c>
      <c r="J7" s="227">
        <f t="shared" si="2"/>
        <v>0</v>
      </c>
      <c r="K7" s="228">
        <f t="shared" si="3"/>
        <v>0</v>
      </c>
      <c r="L7" s="20"/>
    </row>
    <row r="8" spans="2:12" ht="30" customHeight="1" x14ac:dyDescent="0.25">
      <c r="B8" s="78" t="str">
        <f t="shared" si="0"/>
        <v>IE911</v>
      </c>
      <c r="C8" s="79">
        <f>IF(ISTEXT(D8),MAX($C$6:$C7)+1,"")</f>
        <v>5</v>
      </c>
      <c r="D8" s="80" t="s">
        <v>9</v>
      </c>
      <c r="E8" s="89" t="s">
        <v>282</v>
      </c>
      <c r="F8" s="223" t="s">
        <v>43</v>
      </c>
      <c r="G8" s="224" t="s">
        <v>65</v>
      </c>
      <c r="H8" s="232">
        <f>COUNTIFS(D:D,"=Crucial",F:F,"=Select From Drop Down")</f>
        <v>14</v>
      </c>
      <c r="I8" s="226">
        <f t="shared" si="1"/>
        <v>3</v>
      </c>
      <c r="J8" s="227">
        <f t="shared" si="2"/>
        <v>0</v>
      </c>
      <c r="K8" s="250">
        <f t="shared" si="3"/>
        <v>0</v>
      </c>
      <c r="L8" s="20"/>
    </row>
    <row r="9" spans="2:12" ht="30" customHeight="1" x14ac:dyDescent="0.25">
      <c r="B9" s="78" t="str">
        <f t="shared" si="0"/>
        <v>IE911</v>
      </c>
      <c r="C9" s="79">
        <f>IF(ISTEXT(D9),MAX($C$6:$C8)+1,"")</f>
        <v>6</v>
      </c>
      <c r="D9" s="80" t="s">
        <v>9</v>
      </c>
      <c r="E9" s="89" t="s">
        <v>283</v>
      </c>
      <c r="F9" s="223" t="s">
        <v>43</v>
      </c>
      <c r="G9" s="224" t="s">
        <v>67</v>
      </c>
      <c r="H9" s="232">
        <f>COUNTIFS(D:D,"=Crucial",F:F,"=Function Available")</f>
        <v>0</v>
      </c>
      <c r="I9" s="226">
        <f t="shared" si="1"/>
        <v>3</v>
      </c>
      <c r="J9" s="227">
        <f t="shared" si="2"/>
        <v>0</v>
      </c>
      <c r="K9" s="250">
        <f t="shared" si="3"/>
        <v>0</v>
      </c>
      <c r="L9" s="20"/>
    </row>
    <row r="10" spans="2:12" ht="30" customHeight="1" x14ac:dyDescent="0.25">
      <c r="B10" s="78" t="str">
        <f t="shared" si="0"/>
        <v>IE911</v>
      </c>
      <c r="C10" s="79">
        <f>IF(ISTEXT(D10),MAX($C$6:$C9)+1,"")</f>
        <v>7</v>
      </c>
      <c r="D10" s="80" t="s">
        <v>9</v>
      </c>
      <c r="E10" s="154" t="s">
        <v>284</v>
      </c>
      <c r="F10" s="223" t="s">
        <v>43</v>
      </c>
      <c r="G10" s="224" t="s">
        <v>69</v>
      </c>
      <c r="H10" s="232">
        <f>COUNTIFS(D:D,"=Crucial",F:F,"=Function Not Available")</f>
        <v>0</v>
      </c>
      <c r="I10" s="226">
        <f t="shared" si="1"/>
        <v>3</v>
      </c>
      <c r="J10" s="227">
        <f t="shared" si="2"/>
        <v>0</v>
      </c>
      <c r="K10" s="250">
        <f t="shared" si="3"/>
        <v>0</v>
      </c>
      <c r="L10" s="20"/>
    </row>
    <row r="11" spans="2:12" ht="30" customHeight="1" x14ac:dyDescent="0.25">
      <c r="B11" s="124" t="str">
        <f t="shared" si="0"/>
        <v/>
      </c>
      <c r="C11" s="125" t="str">
        <f>IF(ISTEXT(D11),MAX($C$6:$C10)+1,"")</f>
        <v/>
      </c>
      <c r="D11" s="126"/>
      <c r="E11" s="149" t="s">
        <v>285</v>
      </c>
      <c r="F11" s="128"/>
      <c r="G11" s="129"/>
      <c r="H11" s="129"/>
      <c r="I11" s="129"/>
      <c r="J11" s="129"/>
      <c r="K11" s="129"/>
      <c r="L11" s="129"/>
    </row>
    <row r="12" spans="2:12" ht="30" customHeight="1" x14ac:dyDescent="0.25">
      <c r="B12" s="78" t="str">
        <f t="shared" si="0"/>
        <v>IE911</v>
      </c>
      <c r="C12" s="79">
        <f>IF(ISTEXT(D12),MAX($C$6:$C10)+1,"")</f>
        <v>8</v>
      </c>
      <c r="D12" s="80" t="s">
        <v>9</v>
      </c>
      <c r="E12" s="150" t="s">
        <v>584</v>
      </c>
      <c r="F12" s="223" t="s">
        <v>43</v>
      </c>
      <c r="G12" s="241" t="s">
        <v>70</v>
      </c>
      <c r="H12" s="234">
        <f>COUNTIFS(D:D,"=Crucial",F:F,"=Exception")</f>
        <v>0</v>
      </c>
      <c r="I12" s="226">
        <f t="shared" si="1"/>
        <v>3</v>
      </c>
      <c r="J12" s="227">
        <f t="shared" si="2"/>
        <v>0</v>
      </c>
      <c r="K12" s="228">
        <f t="shared" si="3"/>
        <v>0</v>
      </c>
      <c r="L12" s="22"/>
    </row>
    <row r="13" spans="2:12" ht="30" customHeight="1" x14ac:dyDescent="0.25">
      <c r="B13" s="78" t="str">
        <f t="shared" si="0"/>
        <v>IE911</v>
      </c>
      <c r="C13" s="79">
        <f>IF(ISTEXT(D13),MAX($C$6:$C12)+1,"")</f>
        <v>9</v>
      </c>
      <c r="D13" s="80" t="s">
        <v>9</v>
      </c>
      <c r="E13" s="151" t="s">
        <v>585</v>
      </c>
      <c r="F13" s="223" t="s">
        <v>43</v>
      </c>
      <c r="G13" s="283" t="s">
        <v>72</v>
      </c>
      <c r="H13" s="232">
        <f>COUNTIFS(D:D,"=Important",F:F,"=Select From Drop Down")</f>
        <v>5</v>
      </c>
      <c r="I13" s="235">
        <f t="shared" si="1"/>
        <v>3</v>
      </c>
      <c r="J13" s="236">
        <f t="shared" si="2"/>
        <v>0</v>
      </c>
      <c r="K13" s="250">
        <f t="shared" si="3"/>
        <v>0</v>
      </c>
      <c r="L13" s="20"/>
    </row>
    <row r="14" spans="2:12" ht="30" customHeight="1" x14ac:dyDescent="0.25">
      <c r="B14" s="78" t="str">
        <f t="shared" si="0"/>
        <v>IE911</v>
      </c>
      <c r="C14" s="79">
        <f>IF(ISTEXT(D14),MAX($C$6:$C13)+1,"")</f>
        <v>10</v>
      </c>
      <c r="D14" s="80" t="s">
        <v>9</v>
      </c>
      <c r="E14" s="151" t="s">
        <v>586</v>
      </c>
      <c r="F14" s="223" t="s">
        <v>43</v>
      </c>
      <c r="G14" s="233" t="s">
        <v>74</v>
      </c>
      <c r="H14" s="234">
        <f>COUNTIFS(D:D,"=Important",F:F,"=Function Available")</f>
        <v>0</v>
      </c>
      <c r="I14" s="226">
        <f t="shared" ref="I14:I23" si="4">VLOOKUP($D14,SpecData,2,FALSE)</f>
        <v>3</v>
      </c>
      <c r="J14" s="227">
        <f t="shared" ref="J14:J23" si="5">VLOOKUP($F14,AvailabilityData,2,FALSE)</f>
        <v>0</v>
      </c>
      <c r="K14" s="228">
        <f t="shared" ref="K14:K23" si="6">I14*J14</f>
        <v>0</v>
      </c>
      <c r="L14" s="20"/>
    </row>
    <row r="15" spans="2:12" ht="30" customHeight="1" x14ac:dyDescent="0.25">
      <c r="B15" s="78" t="str">
        <f t="shared" si="0"/>
        <v>IE911</v>
      </c>
      <c r="C15" s="79">
        <f>IF(ISTEXT(D15),MAX($C$6:$C14)+1,"")</f>
        <v>11</v>
      </c>
      <c r="D15" s="80" t="s">
        <v>9</v>
      </c>
      <c r="E15" s="151" t="s">
        <v>587</v>
      </c>
      <c r="F15" s="223" t="s">
        <v>43</v>
      </c>
      <c r="G15" s="224" t="s">
        <v>76</v>
      </c>
      <c r="H15" s="232">
        <f>COUNTIFS(D:D,"=Important",F:F,"=Function Not Available")</f>
        <v>0</v>
      </c>
      <c r="I15" s="235">
        <f t="shared" si="4"/>
        <v>3</v>
      </c>
      <c r="J15" s="236">
        <f t="shared" si="5"/>
        <v>0</v>
      </c>
      <c r="K15" s="250">
        <f t="shared" si="6"/>
        <v>0</v>
      </c>
      <c r="L15" s="20"/>
    </row>
    <row r="16" spans="2:12" ht="42.75" customHeight="1" x14ac:dyDescent="0.25">
      <c r="B16" s="78" t="str">
        <f t="shared" si="0"/>
        <v>IE911</v>
      </c>
      <c r="C16" s="79">
        <f>IF(ISTEXT(D16),MAX($C$6:$C15)+1,"")</f>
        <v>12</v>
      </c>
      <c r="D16" s="80" t="s">
        <v>10</v>
      </c>
      <c r="E16" s="89" t="s">
        <v>286</v>
      </c>
      <c r="F16" s="223" t="s">
        <v>43</v>
      </c>
      <c r="G16" s="224" t="s">
        <v>77</v>
      </c>
      <c r="H16" s="232">
        <f>COUNTIFS(D:D,"=Important",F:F,"=Exception")</f>
        <v>0</v>
      </c>
      <c r="I16" s="235">
        <f t="shared" si="4"/>
        <v>2</v>
      </c>
      <c r="J16" s="236">
        <f t="shared" si="5"/>
        <v>0</v>
      </c>
      <c r="K16" s="250">
        <f t="shared" si="6"/>
        <v>0</v>
      </c>
      <c r="L16" s="20"/>
    </row>
    <row r="17" spans="2:12" ht="30" customHeight="1" x14ac:dyDescent="0.25">
      <c r="B17" s="78" t="str">
        <f t="shared" si="0"/>
        <v>IE911</v>
      </c>
      <c r="C17" s="79">
        <f>IF(ISTEXT(D17),MAX($C$6:$C16)+1,"")</f>
        <v>13</v>
      </c>
      <c r="D17" s="80" t="s">
        <v>9</v>
      </c>
      <c r="E17" s="89" t="s">
        <v>287</v>
      </c>
      <c r="F17" s="223" t="s">
        <v>43</v>
      </c>
      <c r="G17" s="224" t="s">
        <v>78</v>
      </c>
      <c r="H17" s="232">
        <f>COUNTIFS(D:D,"=Minimal",F:F,"=Select From Drop Down")</f>
        <v>0</v>
      </c>
      <c r="I17" s="235">
        <f t="shared" si="4"/>
        <v>3</v>
      </c>
      <c r="J17" s="236">
        <f t="shared" si="5"/>
        <v>0</v>
      </c>
      <c r="K17" s="250">
        <f t="shared" si="6"/>
        <v>0</v>
      </c>
      <c r="L17" s="20"/>
    </row>
    <row r="18" spans="2:12" ht="30" customHeight="1" x14ac:dyDescent="0.25">
      <c r="B18" s="78" t="str">
        <f t="shared" si="0"/>
        <v>IE911</v>
      </c>
      <c r="C18" s="79">
        <f>IF(ISTEXT(D18),MAX($C$6:$C17)+1,"")</f>
        <v>14</v>
      </c>
      <c r="D18" s="80" t="s">
        <v>9</v>
      </c>
      <c r="E18" s="89" t="s">
        <v>288</v>
      </c>
      <c r="F18" s="223" t="s">
        <v>43</v>
      </c>
      <c r="G18" s="224" t="s">
        <v>80</v>
      </c>
      <c r="H18" s="232">
        <f>COUNTIFS(D:D,"=Minimal",F:F,"=Function Available")</f>
        <v>0</v>
      </c>
      <c r="I18" s="235">
        <f t="shared" si="4"/>
        <v>3</v>
      </c>
      <c r="J18" s="236">
        <f t="shared" si="5"/>
        <v>0</v>
      </c>
      <c r="K18" s="250">
        <f t="shared" si="6"/>
        <v>0</v>
      </c>
      <c r="L18" s="20"/>
    </row>
    <row r="19" spans="2:12" ht="47.25" customHeight="1" x14ac:dyDescent="0.25">
      <c r="B19" s="78" t="str">
        <f t="shared" si="0"/>
        <v>IE911</v>
      </c>
      <c r="C19" s="79">
        <f>IF(ISTEXT(D19),MAX($C$6:$C18)+1,"")</f>
        <v>15</v>
      </c>
      <c r="D19" s="80" t="s">
        <v>10</v>
      </c>
      <c r="E19" s="88" t="s">
        <v>289</v>
      </c>
      <c r="F19" s="223" t="s">
        <v>43</v>
      </c>
      <c r="G19" s="224" t="s">
        <v>82</v>
      </c>
      <c r="H19" s="232">
        <f>COUNTIFS(D:D,"=Minimal",F:F,"=Function Not Available")</f>
        <v>0</v>
      </c>
      <c r="I19" s="235">
        <f t="shared" si="4"/>
        <v>2</v>
      </c>
      <c r="J19" s="236">
        <f t="shared" si="5"/>
        <v>0</v>
      </c>
      <c r="K19" s="250">
        <f t="shared" si="6"/>
        <v>0</v>
      </c>
      <c r="L19" s="20"/>
    </row>
    <row r="20" spans="2:12" ht="30" customHeight="1" x14ac:dyDescent="0.25">
      <c r="B20" s="78" t="str">
        <f t="shared" si="0"/>
        <v>IE911</v>
      </c>
      <c r="C20" s="79">
        <f>IF(ISTEXT(D20),MAX($C$6:$C19)+1,"")</f>
        <v>16</v>
      </c>
      <c r="D20" s="80" t="s">
        <v>9</v>
      </c>
      <c r="E20" s="89" t="s">
        <v>290</v>
      </c>
      <c r="F20" s="223" t="s">
        <v>43</v>
      </c>
      <c r="G20" s="224" t="s">
        <v>83</v>
      </c>
      <c r="H20" s="232">
        <f>COUNTIFS(D:D,"=Minimal",F:F,"=Exception")</f>
        <v>0</v>
      </c>
      <c r="I20" s="235">
        <f t="shared" si="4"/>
        <v>3</v>
      </c>
      <c r="J20" s="236">
        <f t="shared" si="5"/>
        <v>0</v>
      </c>
      <c r="K20" s="250">
        <f t="shared" si="6"/>
        <v>0</v>
      </c>
      <c r="L20" s="20"/>
    </row>
    <row r="21" spans="2:12" ht="44.25" customHeight="1" x14ac:dyDescent="0.25">
      <c r="B21" s="78" t="str">
        <f t="shared" si="0"/>
        <v>IE911</v>
      </c>
      <c r="C21" s="79">
        <f>IF(ISTEXT(D21),MAX($C$6:$C20)+1,"")</f>
        <v>17</v>
      </c>
      <c r="D21" s="80" t="s">
        <v>10</v>
      </c>
      <c r="E21" s="89" t="s">
        <v>291</v>
      </c>
      <c r="F21" s="223" t="s">
        <v>43</v>
      </c>
      <c r="G21" s="224"/>
      <c r="H21" s="231"/>
      <c r="I21" s="235">
        <f t="shared" si="4"/>
        <v>2</v>
      </c>
      <c r="J21" s="236">
        <f t="shared" si="5"/>
        <v>0</v>
      </c>
      <c r="K21" s="250">
        <f t="shared" si="6"/>
        <v>0</v>
      </c>
      <c r="L21" s="20"/>
    </row>
    <row r="22" spans="2:12" ht="30" customHeight="1" x14ac:dyDescent="0.25">
      <c r="B22" s="78" t="str">
        <f t="shared" si="0"/>
        <v>IE911</v>
      </c>
      <c r="C22" s="79">
        <f>IF(ISTEXT(D22),MAX($C$6:$C21)+1,"")</f>
        <v>18</v>
      </c>
      <c r="D22" s="80" t="s">
        <v>10</v>
      </c>
      <c r="E22" s="89" t="s">
        <v>292</v>
      </c>
      <c r="F22" s="223" t="s">
        <v>43</v>
      </c>
      <c r="G22" s="224"/>
      <c r="H22" s="231"/>
      <c r="I22" s="235">
        <f t="shared" si="4"/>
        <v>2</v>
      </c>
      <c r="J22" s="236">
        <f t="shared" si="5"/>
        <v>0</v>
      </c>
      <c r="K22" s="250">
        <f t="shared" si="6"/>
        <v>0</v>
      </c>
      <c r="L22" s="20"/>
    </row>
    <row r="23" spans="2:12" ht="30" customHeight="1" x14ac:dyDescent="0.25">
      <c r="B23" s="152" t="str">
        <f t="shared" si="0"/>
        <v>IE911</v>
      </c>
      <c r="C23" s="153">
        <f>IF(ISTEXT(D23),MAX($C$6:$C22)+1,"")</f>
        <v>19</v>
      </c>
      <c r="D23" s="80" t="s">
        <v>10</v>
      </c>
      <c r="E23" s="154" t="s">
        <v>293</v>
      </c>
      <c r="F23" s="223" t="s">
        <v>43</v>
      </c>
      <c r="G23" s="241"/>
      <c r="H23" s="242"/>
      <c r="I23" s="238">
        <f t="shared" si="4"/>
        <v>2</v>
      </c>
      <c r="J23" s="239">
        <f t="shared" si="5"/>
        <v>0</v>
      </c>
      <c r="K23" s="254">
        <f t="shared" si="6"/>
        <v>0</v>
      </c>
      <c r="L23" s="21"/>
    </row>
    <row r="24" spans="2:12" ht="7.5" customHeight="1" x14ac:dyDescent="0.25"/>
  </sheetData>
  <sheetProtection algorithmName="SHA-512" hashValue="fa9otKyE7Iq/VmfuEeCirXsy6PepQ/Pel3dpeYnGXJuii1Bbzc0+S7dbx6P7tEaqrSwjGUx2D1soHqZHHQ2vfw==" saltValue="gCuJVIu4VH5rnciA+fnsWQ==" spinCount="100000" sheet="1" selectLockedCells="1"/>
  <conditionalFormatting sqref="D4:D10">
    <cfRule type="cellIs" dxfId="104" priority="7" operator="equal">
      <formula>"Important"</formula>
    </cfRule>
    <cfRule type="cellIs" dxfId="103" priority="8" operator="equal">
      <formula>"Crucial"</formula>
    </cfRule>
    <cfRule type="cellIs" dxfId="102" priority="9" operator="equal">
      <formula>"N/A"</formula>
    </cfRule>
  </conditionalFormatting>
  <conditionalFormatting sqref="D12:D23">
    <cfRule type="cellIs" dxfId="101" priority="1" operator="equal">
      <formula>"Important"</formula>
    </cfRule>
    <cfRule type="cellIs" dxfId="100" priority="2" operator="equal">
      <formula>"Crucial"</formula>
    </cfRule>
    <cfRule type="cellIs" dxfId="99" priority="3" operator="equal">
      <formula>"N/A"</formula>
    </cfRule>
  </conditionalFormatting>
  <conditionalFormatting sqref="F4:F23">
    <cfRule type="cellIs" dxfId="98" priority="22" operator="equal">
      <formula>"Function Not Available"</formula>
    </cfRule>
    <cfRule type="cellIs" dxfId="97" priority="23" operator="equal">
      <formula>"Function Available"</formula>
    </cfRule>
    <cfRule type="cellIs" dxfId="96" priority="24" operator="equal">
      <formula>"Exception"</formula>
    </cfRule>
  </conditionalFormatting>
  <dataValidations count="3">
    <dataValidation type="list" allowBlank="1" showInputMessage="1" showErrorMessage="1" errorTitle="Invalid specification type" error="Please enter a Specification type from the drop-down list." sqref="F6:F10 F12:F23" xr:uid="{00000000-0002-0000-0E00-000000000000}">
      <formula1>AvailabilityType</formula1>
    </dataValidation>
    <dataValidation type="list" allowBlank="1" showInputMessage="1" showErrorMessage="1" sqref="F4:F5" xr:uid="{00000000-0002-0000-0E00-000002000000}">
      <formula1>AvailabilityType</formula1>
    </dataValidation>
    <dataValidation type="list" allowBlank="1" showInputMessage="1" showErrorMessage="1" errorTitle="Invalid specification type" error="Please enter a Specification type from the drop-down list." sqref="D4:D10 D12:D23" xr:uid="{FB0A2E14-BEEA-4894-8098-F7A4F94C06DB}">
      <formula1>SpecType</formula1>
    </dataValidation>
  </dataValidations>
  <pageMargins left="0.7" right="0.7" top="0.75" bottom="0.75" header="0.3" footer="0.3"/>
  <pageSetup scale="47" fitToHeight="0" orientation="portrait" r:id="rId1"/>
  <headerFooter>
    <oddHeader>&amp;CGCCDA
&amp;F&amp;R&amp;A</oddHeader>
    <oddFooter>&amp;LTSSI Consulting LLC, March 2026&amp;CPage &amp;P of &amp;N</oddFooter>
  </headerFooter>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00"/>
    <pageSetUpPr fitToPage="1"/>
  </sheetPr>
  <dimension ref="A1:M22"/>
  <sheetViews>
    <sheetView showGridLines="0" zoomScale="80" zoomScaleNormal="80" workbookViewId="0">
      <selection activeCell="F4" sqref="F4"/>
    </sheetView>
  </sheetViews>
  <sheetFormatPr defaultColWidth="0" defaultRowHeight="15" zeroHeight="1" x14ac:dyDescent="0.25"/>
  <cols>
    <col min="1" max="1" width="1.28515625" customWidth="1"/>
    <col min="2" max="2" width="11.7109375" customWidth="1"/>
    <col min="3" max="3" width="11.42578125" customWidth="1"/>
    <col min="4" max="4" width="23.28515625" customWidth="1"/>
    <col min="5" max="5" width="65.7109375" style="63" customWidth="1"/>
    <col min="6" max="6" width="28.7109375" customWidth="1"/>
    <col min="7" max="7" width="15.42578125" style="64" hidden="1" customWidth="1"/>
    <col min="8" max="11" width="12.7109375" hidden="1" customWidth="1"/>
    <col min="12" max="12" width="49.42578125" customWidth="1"/>
    <col min="13" max="13" width="4.7109375" customWidth="1"/>
    <col min="14" max="16384" width="8.7109375" hidden="1"/>
  </cols>
  <sheetData>
    <row r="1" spans="2:12" ht="6" customHeight="1" thickBot="1" x14ac:dyDescent="0.3"/>
    <row r="2" spans="2:12" ht="129" customHeight="1" thickBot="1" x14ac:dyDescent="0.3">
      <c r="B2" s="95" t="s">
        <v>44</v>
      </c>
      <c r="C2" s="95" t="s">
        <v>45</v>
      </c>
      <c r="D2" s="95" t="s">
        <v>46</v>
      </c>
      <c r="E2" s="95" t="s">
        <v>294</v>
      </c>
      <c r="F2" s="95" t="s">
        <v>42</v>
      </c>
      <c r="G2" s="96" t="s">
        <v>48</v>
      </c>
      <c r="H2" s="96" t="s">
        <v>49</v>
      </c>
      <c r="I2" s="97" t="s">
        <v>50</v>
      </c>
      <c r="J2" s="97" t="s">
        <v>51</v>
      </c>
      <c r="K2" s="98" t="s">
        <v>14</v>
      </c>
      <c r="L2" s="99" t="s">
        <v>52</v>
      </c>
    </row>
    <row r="3" spans="2:12" ht="16.5" thickBot="1" x14ac:dyDescent="0.3">
      <c r="B3" s="100" t="s">
        <v>295</v>
      </c>
      <c r="C3" s="72"/>
      <c r="D3" s="72"/>
      <c r="E3" s="72"/>
      <c r="F3" s="72"/>
      <c r="G3" s="73" t="s">
        <v>54</v>
      </c>
      <c r="H3" s="74">
        <f>COUNTA(D4:D480)</f>
        <v>11</v>
      </c>
      <c r="I3" s="75"/>
      <c r="J3" s="76" t="s">
        <v>55</v>
      </c>
      <c r="K3" s="77">
        <f>SUM(K4:K480)</f>
        <v>0</v>
      </c>
      <c r="L3" s="101"/>
    </row>
    <row r="4" spans="2:12" ht="30" customHeight="1" x14ac:dyDescent="0.25">
      <c r="B4" s="102" t="s">
        <v>296</v>
      </c>
      <c r="C4" s="79">
        <v>1</v>
      </c>
      <c r="D4" s="80" t="s">
        <v>10</v>
      </c>
      <c r="E4" s="177" t="s">
        <v>713</v>
      </c>
      <c r="F4" s="223" t="s">
        <v>43</v>
      </c>
      <c r="G4" s="224" t="s">
        <v>57</v>
      </c>
      <c r="H4" s="225">
        <f>COUNTIF(F4:F480,"Select from Drop Down")</f>
        <v>11</v>
      </c>
      <c r="I4" s="226">
        <f>VLOOKUP($D4,SpecData,2,FALSE)</f>
        <v>2</v>
      </c>
      <c r="J4" s="227">
        <f>VLOOKUP($F4,AvailabilityData,2,FALSE)</f>
        <v>0</v>
      </c>
      <c r="K4" s="228">
        <f>I4*J4</f>
        <v>0</v>
      </c>
      <c r="L4" s="26"/>
    </row>
    <row r="5" spans="2:12" ht="42.75" x14ac:dyDescent="0.25">
      <c r="B5" s="102" t="str">
        <f>IF(C5="","",$B$4)</f>
        <v>IENS</v>
      </c>
      <c r="C5" s="79">
        <f>IF(ISTEXT(D5),MAX($C$4:$C4)+1,"")</f>
        <v>2</v>
      </c>
      <c r="D5" s="80" t="s">
        <v>10</v>
      </c>
      <c r="E5" s="185" t="s">
        <v>297</v>
      </c>
      <c r="F5" s="223" t="s">
        <v>43</v>
      </c>
      <c r="G5" s="224" t="s">
        <v>59</v>
      </c>
      <c r="H5" s="225">
        <f>COUNTIF(F4:F480,"Function Available")</f>
        <v>0</v>
      </c>
      <c r="I5" s="226">
        <f>VLOOKUP($D5,SpecData,2,FALSE)</f>
        <v>2</v>
      </c>
      <c r="J5" s="227">
        <f>VLOOKUP($F5,AvailabilityData,2,FALSE)</f>
        <v>0</v>
      </c>
      <c r="K5" s="228">
        <f t="shared" ref="K5:K16" si="0">I5*J5</f>
        <v>0</v>
      </c>
      <c r="L5" s="26"/>
    </row>
    <row r="6" spans="2:12" ht="30" customHeight="1" x14ac:dyDescent="0.25">
      <c r="B6" s="186" t="str">
        <f t="shared" ref="B6" si="1">IF(C6="","",$B$4)</f>
        <v/>
      </c>
      <c r="C6" s="125" t="str">
        <f>IF(ISTEXT(D6),MAX($C5:$C$6)+1,"")</f>
        <v/>
      </c>
      <c r="D6" s="126"/>
      <c r="E6" s="187" t="s">
        <v>298</v>
      </c>
      <c r="F6" s="128"/>
      <c r="G6" s="129"/>
      <c r="H6" s="129"/>
      <c r="I6" s="129"/>
      <c r="J6" s="129"/>
      <c r="K6" s="129"/>
      <c r="L6" s="188"/>
    </row>
    <row r="7" spans="2:12" ht="30" customHeight="1" x14ac:dyDescent="0.25">
      <c r="B7" s="102" t="str">
        <f>IF(C7="","",$B$4)</f>
        <v>IENS</v>
      </c>
      <c r="C7" s="79">
        <f>IF(ISTEXT(D7),MAX($C$4:$C5)+1,"")</f>
        <v>3</v>
      </c>
      <c r="D7" s="80" t="s">
        <v>10</v>
      </c>
      <c r="E7" s="189" t="s">
        <v>588</v>
      </c>
      <c r="F7" s="223" t="s">
        <v>43</v>
      </c>
      <c r="G7" s="224" t="s">
        <v>61</v>
      </c>
      <c r="H7" s="231">
        <f>COUNTIF(F4:F480,"Function Not Available")</f>
        <v>0</v>
      </c>
      <c r="I7" s="226">
        <f t="shared" ref="I7:I16" si="2">VLOOKUP($D7,SpecData,2,FALSE)</f>
        <v>2</v>
      </c>
      <c r="J7" s="227">
        <f t="shared" ref="J7:J16" si="3">VLOOKUP($F7,AvailabilityData,2,FALSE)</f>
        <v>0</v>
      </c>
      <c r="K7" s="228">
        <f t="shared" si="0"/>
        <v>0</v>
      </c>
      <c r="L7" s="26"/>
    </row>
    <row r="8" spans="2:12" ht="30" customHeight="1" x14ac:dyDescent="0.25">
      <c r="B8" s="102" t="str">
        <f t="shared" ref="B8:B16" si="4">IF(C8="","",$B$4)</f>
        <v>IENS</v>
      </c>
      <c r="C8" s="79">
        <f>IF(ISTEXT(D8),MAX($C$4:$C7)+1,"")</f>
        <v>4</v>
      </c>
      <c r="D8" s="80" t="s">
        <v>10</v>
      </c>
      <c r="E8" s="190" t="s">
        <v>589</v>
      </c>
      <c r="F8" s="223" t="s">
        <v>43</v>
      </c>
      <c r="G8" s="224" t="s">
        <v>63</v>
      </c>
      <c r="H8" s="231">
        <f>COUNTIF(F4:F480,"Exception")</f>
        <v>0</v>
      </c>
      <c r="I8" s="226">
        <f t="shared" si="2"/>
        <v>2</v>
      </c>
      <c r="J8" s="227">
        <f t="shared" si="3"/>
        <v>0</v>
      </c>
      <c r="K8" s="228">
        <f t="shared" si="0"/>
        <v>0</v>
      </c>
      <c r="L8" s="26"/>
    </row>
    <row r="9" spans="2:12" ht="30" customHeight="1" x14ac:dyDescent="0.25">
      <c r="B9" s="102" t="str">
        <f t="shared" si="4"/>
        <v>IENS</v>
      </c>
      <c r="C9" s="79">
        <f>IF(ISTEXT(D9),MAX($C$4:$C8)+1,"")</f>
        <v>5</v>
      </c>
      <c r="D9" s="80" t="s">
        <v>10</v>
      </c>
      <c r="E9" s="190" t="s">
        <v>590</v>
      </c>
      <c r="F9" s="223" t="s">
        <v>43</v>
      </c>
      <c r="G9" s="224" t="s">
        <v>65</v>
      </c>
      <c r="H9" s="232">
        <f>COUNTIFS(D:D,"=Crucial",F:F,"=Select From Drop Down")</f>
        <v>0</v>
      </c>
      <c r="I9" s="226">
        <f t="shared" si="2"/>
        <v>2</v>
      </c>
      <c r="J9" s="227">
        <f t="shared" si="3"/>
        <v>0</v>
      </c>
      <c r="K9" s="228">
        <f t="shared" si="0"/>
        <v>0</v>
      </c>
      <c r="L9" s="26"/>
    </row>
    <row r="10" spans="2:12" ht="30" customHeight="1" x14ac:dyDescent="0.25">
      <c r="B10" s="102" t="str">
        <f t="shared" si="4"/>
        <v>IENS</v>
      </c>
      <c r="C10" s="79">
        <f>IF(ISTEXT(D10),MAX($C$4:$C9)+1,"")</f>
        <v>6</v>
      </c>
      <c r="D10" s="80" t="s">
        <v>10</v>
      </c>
      <c r="E10" s="190" t="s">
        <v>591</v>
      </c>
      <c r="F10" s="223" t="s">
        <v>43</v>
      </c>
      <c r="G10" s="224" t="s">
        <v>67</v>
      </c>
      <c r="H10" s="232">
        <f>COUNTIFS(D:D,"=Crucial",F:F,"=Function Available")</f>
        <v>0</v>
      </c>
      <c r="I10" s="226">
        <f t="shared" si="2"/>
        <v>2</v>
      </c>
      <c r="J10" s="227">
        <f t="shared" si="3"/>
        <v>0</v>
      </c>
      <c r="K10" s="228">
        <f t="shared" si="0"/>
        <v>0</v>
      </c>
      <c r="L10" s="26"/>
    </row>
    <row r="11" spans="2:12" ht="42.75" x14ac:dyDescent="0.25">
      <c r="B11" s="102" t="str">
        <f t="shared" si="4"/>
        <v>IENS</v>
      </c>
      <c r="C11" s="79">
        <f>IF(ISTEXT(D11),MAX($C$4:$C10)+1,"")</f>
        <v>7</v>
      </c>
      <c r="D11" s="80" t="s">
        <v>10</v>
      </c>
      <c r="E11" s="177" t="s">
        <v>299</v>
      </c>
      <c r="F11" s="223" t="s">
        <v>43</v>
      </c>
      <c r="G11" s="224" t="s">
        <v>69</v>
      </c>
      <c r="H11" s="232">
        <f>COUNTIFS(D:D,"=Crucial",F:F,"=Function Not Available")</f>
        <v>0</v>
      </c>
      <c r="I11" s="226">
        <f t="shared" si="2"/>
        <v>2</v>
      </c>
      <c r="J11" s="227">
        <f t="shared" si="3"/>
        <v>0</v>
      </c>
      <c r="K11" s="228">
        <f t="shared" si="0"/>
        <v>0</v>
      </c>
      <c r="L11" s="26"/>
    </row>
    <row r="12" spans="2:12" ht="30" customHeight="1" x14ac:dyDescent="0.25">
      <c r="B12" s="186" t="str">
        <f t="shared" si="4"/>
        <v/>
      </c>
      <c r="C12" s="125" t="str">
        <f>IF(ISTEXT(D12),MAX($C$6:$C11)+1,"")</f>
        <v/>
      </c>
      <c r="D12" s="126"/>
      <c r="E12" s="187" t="s">
        <v>300</v>
      </c>
      <c r="F12" s="128"/>
      <c r="G12" s="129"/>
      <c r="H12" s="129"/>
      <c r="I12" s="129"/>
      <c r="J12" s="129"/>
      <c r="K12" s="129"/>
      <c r="L12" s="188"/>
    </row>
    <row r="13" spans="2:12" ht="30" customHeight="1" x14ac:dyDescent="0.25">
      <c r="B13" s="102" t="str">
        <f t="shared" si="4"/>
        <v>IENS</v>
      </c>
      <c r="C13" s="79">
        <f>IF(ISTEXT(D13),MAX($C$4:$C11)+1,"")</f>
        <v>8</v>
      </c>
      <c r="D13" s="80" t="s">
        <v>10</v>
      </c>
      <c r="E13" s="137" t="s">
        <v>301</v>
      </c>
      <c r="F13" s="223" t="s">
        <v>43</v>
      </c>
      <c r="G13" s="224" t="s">
        <v>70</v>
      </c>
      <c r="H13" s="232">
        <f>COUNTIFS(D:D,"=Crucial",F:F,"=Exception")</f>
        <v>0</v>
      </c>
      <c r="I13" s="226">
        <f t="shared" si="2"/>
        <v>2</v>
      </c>
      <c r="J13" s="227">
        <f t="shared" si="3"/>
        <v>0</v>
      </c>
      <c r="K13" s="228">
        <f t="shared" si="0"/>
        <v>0</v>
      </c>
      <c r="L13" s="26"/>
    </row>
    <row r="14" spans="2:12" ht="30" customHeight="1" x14ac:dyDescent="0.25">
      <c r="B14" s="102" t="str">
        <f t="shared" si="4"/>
        <v>IENS</v>
      </c>
      <c r="C14" s="79">
        <f>IF(ISTEXT(D14),MAX($C$4:$C13)+1,"")</f>
        <v>9</v>
      </c>
      <c r="D14" s="80" t="s">
        <v>10</v>
      </c>
      <c r="E14" s="137" t="s">
        <v>302</v>
      </c>
      <c r="F14" s="223" t="s">
        <v>43</v>
      </c>
      <c r="G14" s="233" t="s">
        <v>72</v>
      </c>
      <c r="H14" s="234">
        <f>COUNTIFS(D:D,"=Important",F:F,"=Select From Drop Down")</f>
        <v>11</v>
      </c>
      <c r="I14" s="226">
        <f t="shared" si="2"/>
        <v>2</v>
      </c>
      <c r="J14" s="227">
        <f t="shared" si="3"/>
        <v>0</v>
      </c>
      <c r="K14" s="228">
        <f t="shared" si="0"/>
        <v>0</v>
      </c>
      <c r="L14" s="26"/>
    </row>
    <row r="15" spans="2:12" ht="30" customHeight="1" x14ac:dyDescent="0.25">
      <c r="B15" s="102" t="str">
        <f t="shared" si="4"/>
        <v>IENS</v>
      </c>
      <c r="C15" s="79">
        <f>IF(ISTEXT(D15),MAX($C$4:$C14)+1,"")</f>
        <v>10</v>
      </c>
      <c r="D15" s="80" t="s">
        <v>10</v>
      </c>
      <c r="E15" s="137" t="s">
        <v>303</v>
      </c>
      <c r="F15" s="223" t="s">
        <v>43</v>
      </c>
      <c r="G15" s="233" t="s">
        <v>74</v>
      </c>
      <c r="H15" s="234">
        <f>COUNTIFS(D:D,"=Important",F:F,"=Function Available")</f>
        <v>0</v>
      </c>
      <c r="I15" s="226">
        <f t="shared" si="2"/>
        <v>2</v>
      </c>
      <c r="J15" s="227">
        <f t="shared" si="3"/>
        <v>0</v>
      </c>
      <c r="K15" s="228">
        <f t="shared" si="0"/>
        <v>0</v>
      </c>
      <c r="L15" s="26"/>
    </row>
    <row r="16" spans="2:12" ht="43.5" thickBot="1" x14ac:dyDescent="0.3">
      <c r="B16" s="105" t="str">
        <f t="shared" si="4"/>
        <v>IENS</v>
      </c>
      <c r="C16" s="106">
        <f>IF(ISTEXT(D16),MAX($C$4:$C15)+1,"")</f>
        <v>11</v>
      </c>
      <c r="D16" s="80" t="s">
        <v>10</v>
      </c>
      <c r="E16" s="107" t="s">
        <v>304</v>
      </c>
      <c r="F16" s="284" t="s">
        <v>43</v>
      </c>
      <c r="G16" s="285" t="s">
        <v>76</v>
      </c>
      <c r="H16" s="286">
        <f>COUNTIFS(D:D,"=Important",F:F,"=Function Not Available")</f>
        <v>0</v>
      </c>
      <c r="I16" s="287">
        <f t="shared" si="2"/>
        <v>2</v>
      </c>
      <c r="J16" s="288">
        <f t="shared" si="3"/>
        <v>0</v>
      </c>
      <c r="K16" s="249">
        <f t="shared" si="0"/>
        <v>0</v>
      </c>
      <c r="L16" s="27"/>
    </row>
    <row r="17" spans="2:12" ht="30" hidden="1" customHeight="1" x14ac:dyDescent="0.25">
      <c r="B17" s="109"/>
      <c r="C17" s="109"/>
      <c r="D17" s="110"/>
      <c r="E17" s="191"/>
      <c r="F17" s="112"/>
      <c r="G17" s="73" t="s">
        <v>77</v>
      </c>
      <c r="H17" s="113">
        <f>COUNTIFS(D:D,"=Important",F:F,"=Exception")</f>
        <v>0</v>
      </c>
      <c r="I17" s="114"/>
      <c r="J17" s="115"/>
      <c r="K17" s="114"/>
      <c r="L17" s="116"/>
    </row>
    <row r="18" spans="2:12" ht="30" hidden="1" customHeight="1" x14ac:dyDescent="0.25">
      <c r="B18" s="192"/>
      <c r="C18" s="192"/>
      <c r="D18" s="193"/>
      <c r="E18" s="122"/>
      <c r="F18" s="118"/>
      <c r="G18" s="62" t="s">
        <v>78</v>
      </c>
      <c r="H18" s="119">
        <f>COUNTIFS(D:D,"=Minimal",F:F,"=Select From Drop Down")</f>
        <v>0</v>
      </c>
      <c r="I18" s="120"/>
      <c r="J18" s="121"/>
      <c r="K18" s="120"/>
      <c r="L18" s="85"/>
    </row>
    <row r="19" spans="2:12" ht="30" hidden="1" customHeight="1" x14ac:dyDescent="0.25">
      <c r="B19" s="192"/>
      <c r="C19" s="192"/>
      <c r="D19" s="193"/>
      <c r="E19" s="122"/>
      <c r="F19" s="118"/>
      <c r="G19" s="62" t="s">
        <v>80</v>
      </c>
      <c r="H19" s="119">
        <f>COUNTIFS(D:D,"=Minimal",F:F,"=Function Available")</f>
        <v>0</v>
      </c>
      <c r="I19" s="120"/>
      <c r="J19" s="121"/>
      <c r="K19" s="120"/>
      <c r="L19" s="85"/>
    </row>
    <row r="20" spans="2:12" ht="30" hidden="1" customHeight="1" x14ac:dyDescent="0.25">
      <c r="B20" s="192"/>
      <c r="C20" s="192"/>
      <c r="D20" s="193"/>
      <c r="E20" s="122"/>
      <c r="F20" s="118"/>
      <c r="G20" s="62" t="s">
        <v>82</v>
      </c>
      <c r="H20" s="119">
        <f>COUNTIFS(D:D,"=Minimal",F:F,"=Function Not Available")</f>
        <v>0</v>
      </c>
      <c r="I20" s="120"/>
      <c r="J20" s="121"/>
      <c r="K20" s="120"/>
      <c r="L20" s="85"/>
    </row>
    <row r="21" spans="2:12" ht="30" hidden="1" customHeight="1" x14ac:dyDescent="0.25">
      <c r="B21" s="192"/>
      <c r="C21" s="192"/>
      <c r="D21" s="193"/>
      <c r="E21" s="122"/>
      <c r="F21" s="118"/>
      <c r="G21" s="62" t="s">
        <v>83</v>
      </c>
      <c r="H21" s="119">
        <f>COUNTIFS(D:D,"=Minimal",F:F,"=Exception")</f>
        <v>0</v>
      </c>
      <c r="I21" s="120"/>
      <c r="J21" s="121"/>
      <c r="K21" s="120"/>
      <c r="L21" s="85"/>
    </row>
    <row r="22" spans="2:12" ht="6" customHeight="1" x14ac:dyDescent="0.25"/>
  </sheetData>
  <sheetProtection algorithmName="SHA-512" hashValue="po7rYiyyqdjXt1VhGG73+hdvTRTYuNbky7folLTtBe5mlRuPD1ZhMc3FrJ8zqn9tZ1SiXxI8LlSTYXMqKA7tGg==" saltValue="K4XqN1xa4geORpjp2PIeTQ==" spinCount="100000" sheet="1" selectLockedCells="1"/>
  <conditionalFormatting sqref="D4:D5 D7:D11 D13:D21">
    <cfRule type="cellIs" dxfId="95" priority="1" operator="equal">
      <formula>"Important"</formula>
    </cfRule>
    <cfRule type="cellIs" dxfId="94" priority="2" operator="equal">
      <formula>"Crucial"</formula>
    </cfRule>
    <cfRule type="cellIs" dxfId="93" priority="3" operator="equal">
      <formula>"N/A"</formula>
    </cfRule>
  </conditionalFormatting>
  <conditionalFormatting sqref="F4:F21">
    <cfRule type="cellIs" dxfId="92" priority="7" operator="equal">
      <formula>"Function Not Available"</formula>
    </cfRule>
    <cfRule type="cellIs" dxfId="91" priority="8" operator="equal">
      <formula>"Function Available"</formula>
    </cfRule>
    <cfRule type="cellIs" dxfId="90" priority="9" operator="equal">
      <formula>"Exception"</formula>
    </cfRule>
  </conditionalFormatting>
  <dataValidations count="3">
    <dataValidation type="list" allowBlank="1" showInputMessage="1" showErrorMessage="1" sqref="F4:F5" xr:uid="{00000000-0002-0000-0F00-000000000000}">
      <formula1>AvailabilityType</formula1>
    </dataValidation>
    <dataValidation type="list" allowBlank="1" showInputMessage="1" showErrorMessage="1" sqref="D4:D5 D7:D11 D13:D16" xr:uid="{10E7D3B8-B65C-412A-889E-C3A5FFC10362}">
      <formula1>SpecType</formula1>
    </dataValidation>
    <dataValidation type="list" allowBlank="1" showInputMessage="1" showErrorMessage="1" errorTitle="Invalid specification type" error="Please enter a Specification type from the drop-down list." sqref="F7:F11 F13:F16" xr:uid="{00000000-0002-0000-0F00-000002000000}">
      <formula1>AvailabilityType</formula1>
    </dataValidation>
  </dataValidations>
  <pageMargins left="0.7" right="0.7" top="0.75" bottom="0.75" header="0.3" footer="0.3"/>
  <pageSetup scale="47" fitToHeight="0" orientation="portrait" r:id="rId1"/>
  <headerFooter>
    <oddHeader>&amp;CGCCDA
&amp;F&amp;R&amp;A</oddHeader>
    <oddFooter>&amp;LTSSI Consulting LLC, March 2026&amp;CPage &amp;P of &amp;N</oddFooter>
  </headerFooter>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tabColor rgb="FFFFCC00"/>
    <pageSetUpPr fitToPage="1"/>
  </sheetPr>
  <dimension ref="A1:M28"/>
  <sheetViews>
    <sheetView showGridLines="0" zoomScale="80" zoomScaleNormal="80" zoomScalePageLayoutView="40" workbookViewId="0">
      <selection activeCell="F4" sqref="F4"/>
    </sheetView>
  </sheetViews>
  <sheetFormatPr defaultColWidth="0" defaultRowHeight="15" zeroHeight="1" x14ac:dyDescent="0.25"/>
  <cols>
    <col min="1" max="1" width="1.42578125" customWidth="1"/>
    <col min="2" max="2" width="11.7109375" customWidth="1"/>
    <col min="3" max="3" width="11.42578125" customWidth="1"/>
    <col min="4" max="4" width="23.28515625" customWidth="1"/>
    <col min="5" max="5" width="65.7109375" style="63" customWidth="1"/>
    <col min="6" max="6" width="28.7109375" customWidth="1"/>
    <col min="7" max="7" width="15.42578125" style="64" hidden="1" customWidth="1"/>
    <col min="8" max="11" width="12.7109375" hidden="1" customWidth="1"/>
    <col min="12" max="12" width="49.42578125" customWidth="1"/>
    <col min="13" max="13" width="2" customWidth="1"/>
    <col min="14" max="16384" width="9.28515625" hidden="1"/>
  </cols>
  <sheetData>
    <row r="1" spans="2:12" ht="6.6" customHeight="1" x14ac:dyDescent="0.25"/>
    <row r="2" spans="2:12" s="71" customFormat="1" ht="129" customHeight="1" thickBot="1" x14ac:dyDescent="0.25">
      <c r="B2" s="65" t="s">
        <v>44</v>
      </c>
      <c r="C2" s="66" t="s">
        <v>45</v>
      </c>
      <c r="D2" s="66" t="s">
        <v>46</v>
      </c>
      <c r="E2" s="66" t="s">
        <v>530</v>
      </c>
      <c r="F2" s="66" t="s">
        <v>42</v>
      </c>
      <c r="G2" s="67" t="s">
        <v>48</v>
      </c>
      <c r="H2" s="67" t="s">
        <v>49</v>
      </c>
      <c r="I2" s="68" t="s">
        <v>50</v>
      </c>
      <c r="J2" s="68" t="s">
        <v>51</v>
      </c>
      <c r="K2" s="69" t="s">
        <v>14</v>
      </c>
      <c r="L2" s="70" t="s">
        <v>52</v>
      </c>
    </row>
    <row r="3" spans="2:12" ht="16.5" thickBot="1" x14ac:dyDescent="0.3">
      <c r="B3" s="72" t="s">
        <v>664</v>
      </c>
      <c r="C3" s="72"/>
      <c r="D3" s="72"/>
      <c r="E3" s="72"/>
      <c r="F3" s="72"/>
      <c r="G3" s="73" t="s">
        <v>54</v>
      </c>
      <c r="H3" s="74">
        <f>COUNTA(D4:D503)</f>
        <v>23</v>
      </c>
      <c r="I3" s="75"/>
      <c r="J3" s="76" t="s">
        <v>55</v>
      </c>
      <c r="K3" s="77">
        <f>SUM(K4:K503)</f>
        <v>0</v>
      </c>
      <c r="L3" s="72"/>
    </row>
    <row r="4" spans="2:12" ht="30" customHeight="1" x14ac:dyDescent="0.25">
      <c r="B4" s="78" t="s">
        <v>529</v>
      </c>
      <c r="C4" s="79">
        <v>1</v>
      </c>
      <c r="D4" s="80" t="s">
        <v>10</v>
      </c>
      <c r="E4" s="88" t="s">
        <v>662</v>
      </c>
      <c r="F4" s="223" t="s">
        <v>43</v>
      </c>
      <c r="G4" s="224" t="s">
        <v>57</v>
      </c>
      <c r="H4" s="225">
        <f>COUNTIF(F4:F503,"Select from Drop Down")</f>
        <v>23</v>
      </c>
      <c r="I4" s="226">
        <f>VLOOKUP($D4,SpecData,2,FALSE)</f>
        <v>2</v>
      </c>
      <c r="J4" s="227">
        <f>VLOOKUP($F4,AvailabilityData,2,FALSE)</f>
        <v>0</v>
      </c>
      <c r="K4" s="228">
        <f>I4*J4</f>
        <v>0</v>
      </c>
      <c r="L4" s="20"/>
    </row>
    <row r="5" spans="2:12" ht="30" customHeight="1" x14ac:dyDescent="0.25">
      <c r="B5" s="78" t="str">
        <f>IF(C5="","",$B$4)</f>
        <v>IFRMS</v>
      </c>
      <c r="C5" s="79">
        <v>2</v>
      </c>
      <c r="D5" s="80" t="s">
        <v>10</v>
      </c>
      <c r="E5" s="194" t="s">
        <v>663</v>
      </c>
      <c r="F5" s="223" t="s">
        <v>43</v>
      </c>
      <c r="G5" s="224" t="s">
        <v>59</v>
      </c>
      <c r="H5" s="225">
        <f>COUNTIF(F4:F503,"Function Available")</f>
        <v>0</v>
      </c>
      <c r="I5" s="226">
        <f>VLOOKUP($D5,SpecData,2,FALSE)</f>
        <v>2</v>
      </c>
      <c r="J5" s="227">
        <f>VLOOKUP($F5,AvailabilityData,2,FALSE)</f>
        <v>0</v>
      </c>
      <c r="K5" s="228">
        <f>I5*J5</f>
        <v>0</v>
      </c>
      <c r="L5" s="20"/>
    </row>
    <row r="6" spans="2:12" ht="30" customHeight="1" x14ac:dyDescent="0.25">
      <c r="B6" s="78" t="str">
        <f t="shared" ref="B6:B27" si="0">IF(C6="","",$B$4)</f>
        <v>IFRMS</v>
      </c>
      <c r="C6" s="79">
        <v>3</v>
      </c>
      <c r="D6" s="80" t="s">
        <v>10</v>
      </c>
      <c r="E6" s="194" t="s">
        <v>666</v>
      </c>
      <c r="F6" s="223" t="s">
        <v>43</v>
      </c>
      <c r="G6" s="224" t="s">
        <v>61</v>
      </c>
      <c r="H6" s="231">
        <f>COUNTIF(F4:F503,"Function Not Available")</f>
        <v>0</v>
      </c>
      <c r="I6" s="226">
        <f t="shared" ref="I6:I12" si="1">VLOOKUP($D6,SpecData,2,FALSE)</f>
        <v>2</v>
      </c>
      <c r="J6" s="227">
        <f t="shared" ref="J6:J12" si="2">VLOOKUP($F6,AvailabilityData,2,FALSE)</f>
        <v>0</v>
      </c>
      <c r="K6" s="250">
        <f t="shared" ref="K6:K12" si="3">I6*J6</f>
        <v>0</v>
      </c>
      <c r="L6" s="20"/>
    </row>
    <row r="7" spans="2:12" ht="30" customHeight="1" x14ac:dyDescent="0.25">
      <c r="B7" s="78" t="str">
        <f t="shared" si="0"/>
        <v>IFRMS</v>
      </c>
      <c r="C7" s="79">
        <f>IF(ISTEXT(D7),MAX($C$6:$C6)+1,"")</f>
        <v>4</v>
      </c>
      <c r="D7" s="80" t="s">
        <v>11</v>
      </c>
      <c r="E7" s="194" t="s">
        <v>665</v>
      </c>
      <c r="F7" s="223" t="s">
        <v>43</v>
      </c>
      <c r="G7" s="224" t="s">
        <v>63</v>
      </c>
      <c r="H7" s="231">
        <f>COUNTIF(F4:F503,"Exception")</f>
        <v>0</v>
      </c>
      <c r="I7" s="226">
        <f t="shared" si="1"/>
        <v>1</v>
      </c>
      <c r="J7" s="227">
        <f t="shared" si="2"/>
        <v>0</v>
      </c>
      <c r="K7" s="228">
        <f t="shared" si="3"/>
        <v>0</v>
      </c>
      <c r="L7" s="20"/>
    </row>
    <row r="8" spans="2:12" ht="30" customHeight="1" x14ac:dyDescent="0.25">
      <c r="B8" s="78" t="str">
        <f t="shared" si="0"/>
        <v>IFRMS</v>
      </c>
      <c r="C8" s="79">
        <f>IF(ISTEXT(D8),MAX($C$6:$C7)+1,"")</f>
        <v>5</v>
      </c>
      <c r="D8" s="80" t="s">
        <v>10</v>
      </c>
      <c r="E8" s="194" t="s">
        <v>671</v>
      </c>
      <c r="F8" s="223" t="s">
        <v>43</v>
      </c>
      <c r="G8" s="224" t="s">
        <v>65</v>
      </c>
      <c r="H8" s="232">
        <f>COUNTIFS(D:D,"=Crucial",F:F,"=Select From Drop Down")</f>
        <v>0</v>
      </c>
      <c r="I8" s="226">
        <f t="shared" si="1"/>
        <v>2</v>
      </c>
      <c r="J8" s="227">
        <f t="shared" si="2"/>
        <v>0</v>
      </c>
      <c r="K8" s="250">
        <f t="shared" si="3"/>
        <v>0</v>
      </c>
      <c r="L8" s="20"/>
    </row>
    <row r="9" spans="2:12" ht="30" customHeight="1" x14ac:dyDescent="0.25">
      <c r="B9" s="78" t="str">
        <f t="shared" si="0"/>
        <v>IFRMS</v>
      </c>
      <c r="C9" s="79">
        <f>IF(ISTEXT(D9),MAX($C$6:$C8)+1,"")</f>
        <v>6</v>
      </c>
      <c r="D9" s="80" t="s">
        <v>11</v>
      </c>
      <c r="E9" s="88" t="s">
        <v>668</v>
      </c>
      <c r="F9" s="223" t="s">
        <v>43</v>
      </c>
      <c r="G9" s="224" t="s">
        <v>67</v>
      </c>
      <c r="H9" s="232">
        <f>COUNTIFS(D:D,"=Crucial",F:F,"=Function Available")</f>
        <v>0</v>
      </c>
      <c r="I9" s="226">
        <f t="shared" si="1"/>
        <v>1</v>
      </c>
      <c r="J9" s="227">
        <f t="shared" si="2"/>
        <v>0</v>
      </c>
      <c r="K9" s="250">
        <f t="shared" si="3"/>
        <v>0</v>
      </c>
      <c r="L9" s="20"/>
    </row>
    <row r="10" spans="2:12" ht="30" customHeight="1" x14ac:dyDescent="0.25">
      <c r="B10" s="78" t="str">
        <f t="shared" si="0"/>
        <v>IFRMS</v>
      </c>
      <c r="C10" s="79">
        <f>IF(ISTEXT(D10),MAX($C$6:$C9)+1,"")</f>
        <v>7</v>
      </c>
      <c r="D10" s="80" t="s">
        <v>11</v>
      </c>
      <c r="E10" s="88" t="s">
        <v>669</v>
      </c>
      <c r="F10" s="223" t="s">
        <v>43</v>
      </c>
      <c r="G10" s="224" t="s">
        <v>69</v>
      </c>
      <c r="H10" s="232">
        <f>COUNTIFS(D:D,"=Crucial",F:F,"=Function Not Available")</f>
        <v>0</v>
      </c>
      <c r="I10" s="226">
        <f t="shared" si="1"/>
        <v>1</v>
      </c>
      <c r="J10" s="227">
        <f t="shared" si="2"/>
        <v>0</v>
      </c>
      <c r="K10" s="250">
        <f t="shared" si="3"/>
        <v>0</v>
      </c>
      <c r="L10" s="20"/>
    </row>
    <row r="11" spans="2:12" ht="30" customHeight="1" x14ac:dyDescent="0.25">
      <c r="B11" s="78" t="str">
        <f t="shared" si="0"/>
        <v>IFRMS</v>
      </c>
      <c r="C11" s="79">
        <f>IF(ISTEXT(D11),MAX($C$6:$C10)+1,"")</f>
        <v>8</v>
      </c>
      <c r="D11" s="80" t="s">
        <v>11</v>
      </c>
      <c r="E11" s="88" t="s">
        <v>670</v>
      </c>
      <c r="F11" s="223" t="s">
        <v>43</v>
      </c>
      <c r="G11" s="241" t="s">
        <v>70</v>
      </c>
      <c r="H11" s="251">
        <f>COUNTIFS(D:D,"=Crucial",F:F,"=Exception")</f>
        <v>0</v>
      </c>
      <c r="I11" s="226">
        <f t="shared" si="1"/>
        <v>1</v>
      </c>
      <c r="J11" s="227">
        <f t="shared" si="2"/>
        <v>0</v>
      </c>
      <c r="K11" s="254">
        <f t="shared" si="3"/>
        <v>0</v>
      </c>
      <c r="L11" s="22"/>
    </row>
    <row r="12" spans="2:12" ht="30" customHeight="1" x14ac:dyDescent="0.25">
      <c r="B12" s="78" t="str">
        <f t="shared" si="0"/>
        <v>IFRMS</v>
      </c>
      <c r="C12" s="79">
        <f>IF(ISTEXT(D12),MAX($C$6:$C11)+1,"")</f>
        <v>9</v>
      </c>
      <c r="D12" s="80" t="s">
        <v>10</v>
      </c>
      <c r="E12" s="88" t="s">
        <v>667</v>
      </c>
      <c r="F12" s="223" t="s">
        <v>43</v>
      </c>
      <c r="G12" s="224" t="s">
        <v>72</v>
      </c>
      <c r="H12" s="232">
        <f>COUNTIFS(D:D,"=Important",F:F,"=Select From Drop Down")</f>
        <v>15</v>
      </c>
      <c r="I12" s="226">
        <f t="shared" si="1"/>
        <v>2</v>
      </c>
      <c r="J12" s="227">
        <f t="shared" si="2"/>
        <v>0</v>
      </c>
      <c r="K12" s="250">
        <f t="shared" si="3"/>
        <v>0</v>
      </c>
      <c r="L12" s="22"/>
    </row>
    <row r="13" spans="2:12" ht="30" customHeight="1" x14ac:dyDescent="0.25">
      <c r="B13" s="78" t="str">
        <f t="shared" si="0"/>
        <v>IFRMS</v>
      </c>
      <c r="C13" s="79">
        <f>IF(ISTEXT(D13),MAX($C$6:$C12)+1,"")</f>
        <v>10</v>
      </c>
      <c r="D13" s="80" t="s">
        <v>11</v>
      </c>
      <c r="E13" s="88" t="s">
        <v>524</v>
      </c>
      <c r="F13" s="223" t="s">
        <v>43</v>
      </c>
      <c r="G13" s="241" t="s">
        <v>74</v>
      </c>
      <c r="H13" s="251">
        <f>COUNTIFS(D:D,"=Important",F:F,"=Function Available")</f>
        <v>0</v>
      </c>
      <c r="I13" s="252">
        <f t="shared" ref="I13:I27" si="4">VLOOKUP($D13,SpecData,2,FALSE)</f>
        <v>1</v>
      </c>
      <c r="J13" s="253">
        <f t="shared" ref="J13:J27" si="5">VLOOKUP($F13,AvailabilityData,2,FALSE)</f>
        <v>0</v>
      </c>
      <c r="K13" s="254">
        <f t="shared" ref="K13:K27" si="6">I13*J13</f>
        <v>0</v>
      </c>
      <c r="L13" s="25"/>
    </row>
    <row r="14" spans="2:12" ht="30" customHeight="1" x14ac:dyDescent="0.25">
      <c r="B14" s="78" t="str">
        <f t="shared" si="0"/>
        <v>IFRMS</v>
      </c>
      <c r="C14" s="79">
        <f>IF(ISTEXT(D14),MAX($C$6:$C13)+1,"")</f>
        <v>11</v>
      </c>
      <c r="D14" s="80" t="s">
        <v>11</v>
      </c>
      <c r="E14" s="88" t="s">
        <v>525</v>
      </c>
      <c r="F14" s="223" t="s">
        <v>43</v>
      </c>
      <c r="G14" s="224" t="s">
        <v>76</v>
      </c>
      <c r="H14" s="232">
        <f>COUNTIFS(D:D,"=Important",F:F,"=Function Not Available")</f>
        <v>0</v>
      </c>
      <c r="I14" s="235">
        <f t="shared" si="4"/>
        <v>1</v>
      </c>
      <c r="J14" s="236">
        <f t="shared" si="5"/>
        <v>0</v>
      </c>
      <c r="K14" s="250">
        <f t="shared" si="6"/>
        <v>0</v>
      </c>
      <c r="L14" s="20"/>
    </row>
    <row r="15" spans="2:12" ht="30" customHeight="1" x14ac:dyDescent="0.25">
      <c r="B15" s="78" t="str">
        <f t="shared" si="0"/>
        <v>IFRMS</v>
      </c>
      <c r="C15" s="79">
        <f>IF(ISTEXT(D15),MAX($C$6:$C14)+1,"")</f>
        <v>12</v>
      </c>
      <c r="D15" s="80" t="s">
        <v>10</v>
      </c>
      <c r="E15" s="88" t="s">
        <v>526</v>
      </c>
      <c r="F15" s="223" t="s">
        <v>43</v>
      </c>
      <c r="G15" s="224" t="s">
        <v>77</v>
      </c>
      <c r="H15" s="232">
        <f>COUNTIFS(D:D,"=Important",F:F,"=Exception")</f>
        <v>0</v>
      </c>
      <c r="I15" s="235">
        <f t="shared" si="4"/>
        <v>2</v>
      </c>
      <c r="J15" s="236">
        <f t="shared" si="5"/>
        <v>0</v>
      </c>
      <c r="K15" s="250">
        <f t="shared" si="6"/>
        <v>0</v>
      </c>
      <c r="L15" s="20"/>
    </row>
    <row r="16" spans="2:12" ht="30" customHeight="1" x14ac:dyDescent="0.25">
      <c r="B16" s="78" t="str">
        <f t="shared" si="0"/>
        <v>IFRMS</v>
      </c>
      <c r="C16" s="79">
        <f>IF(ISTEXT(D16),MAX($C$6:$C15)+1,"")</f>
        <v>13</v>
      </c>
      <c r="D16" s="80" t="s">
        <v>10</v>
      </c>
      <c r="E16" s="88" t="s">
        <v>527</v>
      </c>
      <c r="F16" s="223" t="s">
        <v>43</v>
      </c>
      <c r="G16" s="224" t="s">
        <v>78</v>
      </c>
      <c r="H16" s="232">
        <f>COUNTIFS(D:D,"=Minimal",F:F,"=Select From Drop Down")</f>
        <v>8</v>
      </c>
      <c r="I16" s="235">
        <f t="shared" si="4"/>
        <v>2</v>
      </c>
      <c r="J16" s="236">
        <f t="shared" si="5"/>
        <v>0</v>
      </c>
      <c r="K16" s="250">
        <f t="shared" si="6"/>
        <v>0</v>
      </c>
      <c r="L16" s="20"/>
    </row>
    <row r="17" spans="2:12" ht="30" customHeight="1" x14ac:dyDescent="0.25">
      <c r="B17" s="124" t="str">
        <f t="shared" si="0"/>
        <v/>
      </c>
      <c r="C17" s="125" t="str">
        <f>IF(ISTEXT(D17),MAX($C$6:$C16)+1,"")</f>
        <v/>
      </c>
      <c r="D17" s="126"/>
      <c r="E17" s="149" t="s">
        <v>528</v>
      </c>
      <c r="F17" s="128"/>
      <c r="G17" s="129"/>
      <c r="H17" s="129"/>
      <c r="I17" s="129"/>
      <c r="J17" s="129"/>
      <c r="K17" s="129"/>
      <c r="L17" s="129"/>
    </row>
    <row r="18" spans="2:12" ht="30" customHeight="1" x14ac:dyDescent="0.25">
      <c r="B18" s="78" t="str">
        <f t="shared" si="0"/>
        <v>IFRMS</v>
      </c>
      <c r="C18" s="79">
        <f>IF(ISTEXT(D18),MAX($C$6:$C16)+1,"")</f>
        <v>14</v>
      </c>
      <c r="D18" s="80" t="s">
        <v>10</v>
      </c>
      <c r="E18" s="195" t="s">
        <v>175</v>
      </c>
      <c r="F18" s="223" t="s">
        <v>43</v>
      </c>
      <c r="G18" s="224" t="s">
        <v>80</v>
      </c>
      <c r="H18" s="232">
        <f>COUNTIFS(D:D,"=Minimal",F:F,"=Function Available")</f>
        <v>0</v>
      </c>
      <c r="I18" s="235">
        <f t="shared" si="4"/>
        <v>2</v>
      </c>
      <c r="J18" s="236">
        <f t="shared" si="5"/>
        <v>0</v>
      </c>
      <c r="K18" s="250">
        <f t="shared" si="6"/>
        <v>0</v>
      </c>
      <c r="L18" s="20"/>
    </row>
    <row r="19" spans="2:12" ht="30" customHeight="1" x14ac:dyDescent="0.25">
      <c r="B19" s="78" t="str">
        <f t="shared" si="0"/>
        <v>IFRMS</v>
      </c>
      <c r="C19" s="79">
        <f>IF(ISTEXT(D19),MAX($C$6:$C18)+1,"")</f>
        <v>15</v>
      </c>
      <c r="D19" s="80" t="s">
        <v>10</v>
      </c>
      <c r="E19" s="176" t="s">
        <v>307</v>
      </c>
      <c r="F19" s="223" t="s">
        <v>43</v>
      </c>
      <c r="G19" s="224" t="s">
        <v>82</v>
      </c>
      <c r="H19" s="232">
        <f>COUNTIFS(D:D,"=Minimal",F:F,"=Function Not Available")</f>
        <v>0</v>
      </c>
      <c r="I19" s="235">
        <f t="shared" si="4"/>
        <v>2</v>
      </c>
      <c r="J19" s="236">
        <f t="shared" si="5"/>
        <v>0</v>
      </c>
      <c r="K19" s="250">
        <f t="shared" si="6"/>
        <v>0</v>
      </c>
      <c r="L19" s="20"/>
    </row>
    <row r="20" spans="2:12" ht="30" customHeight="1" x14ac:dyDescent="0.25">
      <c r="B20" s="78" t="str">
        <f t="shared" si="0"/>
        <v>IFRMS</v>
      </c>
      <c r="C20" s="79">
        <f>IF(ISTEXT(D20),MAX($C$6:$C19)+1,"")</f>
        <v>16</v>
      </c>
      <c r="D20" s="80" t="s">
        <v>10</v>
      </c>
      <c r="E20" s="176" t="s">
        <v>308</v>
      </c>
      <c r="F20" s="223" t="s">
        <v>43</v>
      </c>
      <c r="G20" s="224" t="s">
        <v>83</v>
      </c>
      <c r="H20" s="232">
        <f>COUNTIFS(D:D,"=Minimal",F:F,"=Exception")</f>
        <v>0</v>
      </c>
      <c r="I20" s="235">
        <f t="shared" si="4"/>
        <v>2</v>
      </c>
      <c r="J20" s="236">
        <f t="shared" si="5"/>
        <v>0</v>
      </c>
      <c r="K20" s="250">
        <f t="shared" si="6"/>
        <v>0</v>
      </c>
      <c r="L20" s="20"/>
    </row>
    <row r="21" spans="2:12" ht="30" customHeight="1" x14ac:dyDescent="0.25">
      <c r="B21" s="78" t="str">
        <f t="shared" si="0"/>
        <v>IFRMS</v>
      </c>
      <c r="C21" s="79">
        <f>IF(ISTEXT(D21),MAX($C$6:$C20)+1,"")</f>
        <v>17</v>
      </c>
      <c r="D21" s="80" t="s">
        <v>10</v>
      </c>
      <c r="E21" s="176" t="s">
        <v>312</v>
      </c>
      <c r="F21" s="223" t="s">
        <v>43</v>
      </c>
      <c r="G21" s="224"/>
      <c r="H21" s="231"/>
      <c r="I21" s="235">
        <f t="shared" si="4"/>
        <v>2</v>
      </c>
      <c r="J21" s="236">
        <f t="shared" si="5"/>
        <v>0</v>
      </c>
      <c r="K21" s="250">
        <f t="shared" si="6"/>
        <v>0</v>
      </c>
      <c r="L21" s="20"/>
    </row>
    <row r="22" spans="2:12" ht="30" customHeight="1" x14ac:dyDescent="0.25">
      <c r="B22" s="78" t="str">
        <f t="shared" si="0"/>
        <v>IFRMS</v>
      </c>
      <c r="C22" s="79">
        <f>IF(ISTEXT(D22),MAX($C$6:$C21)+1,"")</f>
        <v>18</v>
      </c>
      <c r="D22" s="80" t="s">
        <v>11</v>
      </c>
      <c r="E22" s="176" t="s">
        <v>651</v>
      </c>
      <c r="F22" s="223" t="s">
        <v>43</v>
      </c>
      <c r="G22" s="224"/>
      <c r="H22" s="231"/>
      <c r="I22" s="235">
        <f t="shared" si="4"/>
        <v>1</v>
      </c>
      <c r="J22" s="236">
        <f t="shared" si="5"/>
        <v>0</v>
      </c>
      <c r="K22" s="250">
        <f t="shared" si="6"/>
        <v>0</v>
      </c>
      <c r="L22" s="243"/>
    </row>
    <row r="23" spans="2:12" ht="30" customHeight="1" x14ac:dyDescent="0.25">
      <c r="B23" s="78" t="str">
        <f t="shared" si="0"/>
        <v>IFRMS</v>
      </c>
      <c r="C23" s="79">
        <f>IF(ISTEXT(D23),MAX($C$6:$C22)+1,"")</f>
        <v>19</v>
      </c>
      <c r="D23" s="80" t="s">
        <v>11</v>
      </c>
      <c r="E23" s="176" t="s">
        <v>652</v>
      </c>
      <c r="F23" s="223" t="s">
        <v>43</v>
      </c>
      <c r="G23" s="224"/>
      <c r="H23" s="231"/>
      <c r="I23" s="235">
        <f t="shared" si="4"/>
        <v>1</v>
      </c>
      <c r="J23" s="236">
        <f t="shared" si="5"/>
        <v>0</v>
      </c>
      <c r="K23" s="250">
        <f t="shared" si="6"/>
        <v>0</v>
      </c>
      <c r="L23" s="243"/>
    </row>
    <row r="24" spans="2:12" ht="30" customHeight="1" x14ac:dyDescent="0.25">
      <c r="B24" s="78" t="str">
        <f t="shared" si="0"/>
        <v>IFRMS</v>
      </c>
      <c r="C24" s="79">
        <f>IF(ISTEXT(D24),MAX($C$6:$C23)+1,"")</f>
        <v>20</v>
      </c>
      <c r="D24" s="80" t="s">
        <v>10</v>
      </c>
      <c r="E24" s="176" t="s">
        <v>313</v>
      </c>
      <c r="F24" s="223" t="s">
        <v>43</v>
      </c>
      <c r="G24" s="224"/>
      <c r="H24" s="231"/>
      <c r="I24" s="235">
        <f t="shared" si="4"/>
        <v>2</v>
      </c>
      <c r="J24" s="236">
        <f t="shared" si="5"/>
        <v>0</v>
      </c>
      <c r="K24" s="250">
        <f t="shared" si="6"/>
        <v>0</v>
      </c>
      <c r="L24" s="20"/>
    </row>
    <row r="25" spans="2:12" ht="30" customHeight="1" x14ac:dyDescent="0.25">
      <c r="B25" s="78" t="str">
        <f t="shared" si="0"/>
        <v>IFRMS</v>
      </c>
      <c r="C25" s="79">
        <f>IF(ISTEXT(D25),MAX($C$6:$C24)+1,"")</f>
        <v>21</v>
      </c>
      <c r="D25" s="80" t="s">
        <v>10</v>
      </c>
      <c r="E25" s="176" t="s">
        <v>309</v>
      </c>
      <c r="F25" s="223" t="s">
        <v>43</v>
      </c>
      <c r="G25" s="224"/>
      <c r="H25" s="231"/>
      <c r="I25" s="235">
        <f t="shared" si="4"/>
        <v>2</v>
      </c>
      <c r="J25" s="236">
        <f t="shared" si="5"/>
        <v>0</v>
      </c>
      <c r="K25" s="250">
        <f t="shared" si="6"/>
        <v>0</v>
      </c>
      <c r="L25" s="20"/>
    </row>
    <row r="26" spans="2:12" ht="30" customHeight="1" x14ac:dyDescent="0.25">
      <c r="B26" s="78" t="str">
        <f t="shared" si="0"/>
        <v>IFRMS</v>
      </c>
      <c r="C26" s="79">
        <f>IF(ISTEXT(D26),MAX($C$6:$C25)+1,"")</f>
        <v>22</v>
      </c>
      <c r="D26" s="80" t="s">
        <v>10</v>
      </c>
      <c r="E26" s="81" t="s">
        <v>314</v>
      </c>
      <c r="F26" s="223" t="s">
        <v>43</v>
      </c>
      <c r="G26" s="224"/>
      <c r="H26" s="231"/>
      <c r="I26" s="235">
        <f t="shared" si="4"/>
        <v>2</v>
      </c>
      <c r="J26" s="236">
        <f t="shared" si="5"/>
        <v>0</v>
      </c>
      <c r="K26" s="250">
        <f t="shared" si="6"/>
        <v>0</v>
      </c>
      <c r="L26" s="20"/>
    </row>
    <row r="27" spans="2:12" ht="30" customHeight="1" x14ac:dyDescent="0.25">
      <c r="B27" s="78" t="str">
        <f t="shared" si="0"/>
        <v>IFRMS</v>
      </c>
      <c r="C27" s="79">
        <f>IF(ISTEXT(D27),MAX($C$6:$C26)+1,"")</f>
        <v>23</v>
      </c>
      <c r="D27" s="80" t="s">
        <v>10</v>
      </c>
      <c r="E27" s="81" t="s">
        <v>310</v>
      </c>
      <c r="F27" s="223" t="s">
        <v>43</v>
      </c>
      <c r="G27" s="241"/>
      <c r="H27" s="242"/>
      <c r="I27" s="235">
        <f t="shared" si="4"/>
        <v>2</v>
      </c>
      <c r="J27" s="236">
        <f t="shared" si="5"/>
        <v>0</v>
      </c>
      <c r="K27" s="250">
        <f t="shared" si="6"/>
        <v>0</v>
      </c>
      <c r="L27" s="21"/>
    </row>
    <row r="28" spans="2:12" ht="8.25" customHeight="1" x14ac:dyDescent="0.25"/>
  </sheetData>
  <sheetProtection algorithmName="SHA-512" hashValue="5BN/zLo5S40KFeNQAtE4ts6ZlHCUZwY6xPu1aUGfwXLhWhgfl33Pvbs0kBQI2hoVhl6C1HogKwLS+XZyNXdP+g==" saltValue="QJqCy84ybnjDXIQb4t5Zvw==" spinCount="100000" sheet="1" selectLockedCells="1"/>
  <conditionalFormatting sqref="D4:D16">
    <cfRule type="cellIs" dxfId="89" priority="19" operator="equal">
      <formula>"Important"</formula>
    </cfRule>
    <cfRule type="cellIs" dxfId="88" priority="20" operator="equal">
      <formula>"Crucial"</formula>
    </cfRule>
    <cfRule type="cellIs" dxfId="87" priority="21" operator="equal">
      <formula>"N/A"</formula>
    </cfRule>
  </conditionalFormatting>
  <conditionalFormatting sqref="D18:D27">
    <cfRule type="cellIs" dxfId="86" priority="1" operator="equal">
      <formula>"Important"</formula>
    </cfRule>
    <cfRule type="cellIs" dxfId="85" priority="2" operator="equal">
      <formula>"Crucial"</formula>
    </cfRule>
    <cfRule type="cellIs" dxfId="84" priority="3" operator="equal">
      <formula>"N/A"</formula>
    </cfRule>
  </conditionalFormatting>
  <conditionalFormatting sqref="F4:F27">
    <cfRule type="cellIs" dxfId="83" priority="7" operator="equal">
      <formula>"Function Not Available"</formula>
    </cfRule>
    <cfRule type="cellIs" dxfId="82" priority="8" operator="equal">
      <formula>"Function Available"</formula>
    </cfRule>
    <cfRule type="cellIs" dxfId="81" priority="9" operator="equal">
      <formula>"Exception"</formula>
    </cfRule>
  </conditionalFormatting>
  <dataValidations count="3">
    <dataValidation type="list" allowBlank="1" showInputMessage="1" showErrorMessage="1" sqref="F4:F5" xr:uid="{00000000-0002-0000-1300-000000000000}">
      <formula1>AvailabilityType</formula1>
    </dataValidation>
    <dataValidation type="list" allowBlank="1" showInputMessage="1" showErrorMessage="1" sqref="D4:D16 D18:D27" xr:uid="{00000000-0002-0000-1300-000001000000}">
      <formula1>SpecType</formula1>
    </dataValidation>
    <dataValidation type="list" allowBlank="1" showInputMessage="1" showErrorMessage="1" errorTitle="Invalid specification type" error="Please enter a Specification type from the drop-down list." sqref="F6:F16 F18:F27" xr:uid="{00000000-0002-0000-1300-000003000000}">
      <formula1>AvailabilityType</formula1>
    </dataValidation>
  </dataValidations>
  <pageMargins left="0.7" right="0.7" top="0.75" bottom="0.75" header="0.3" footer="0.3"/>
  <pageSetup scale="47" fitToHeight="0" orientation="portrait" r:id="rId1"/>
  <headerFooter>
    <oddHeader>&amp;CGCCDA
&amp;F&amp;R&amp;A</oddHeader>
    <oddFooter>&amp;LTSSI Consulting LLC, March 2026&amp;CPage &amp;P of &amp;N</oddFooter>
  </headerFooter>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CC00"/>
    <pageSetUpPr fitToPage="1"/>
  </sheetPr>
  <dimension ref="A1:M38"/>
  <sheetViews>
    <sheetView showGridLines="0" zoomScale="80" zoomScaleNormal="80" workbookViewId="0">
      <selection activeCell="F4" sqref="F4"/>
    </sheetView>
  </sheetViews>
  <sheetFormatPr defaultColWidth="0" defaultRowHeight="15" zeroHeight="1" x14ac:dyDescent="0.25"/>
  <cols>
    <col min="1" max="1" width="1" customWidth="1"/>
    <col min="2" max="2" width="11.7109375" customWidth="1"/>
    <col min="3" max="3" width="11.42578125" customWidth="1"/>
    <col min="4" max="4" width="23.28515625" customWidth="1"/>
    <col min="5" max="5" width="65.7109375" style="63" customWidth="1"/>
    <col min="6" max="6" width="28.7109375" customWidth="1"/>
    <col min="7" max="7" width="15.42578125" style="64" hidden="1" customWidth="1"/>
    <col min="8" max="11" width="12.7109375" hidden="1" customWidth="1"/>
    <col min="12" max="12" width="49.42578125" customWidth="1"/>
    <col min="13" max="13" width="8.7109375" customWidth="1"/>
    <col min="14" max="16384" width="8.7109375" hidden="1"/>
  </cols>
  <sheetData>
    <row r="1" spans="2:12" ht="5.65" customHeight="1" x14ac:dyDescent="0.25"/>
    <row r="2" spans="2:12" ht="129" customHeight="1" thickBot="1" x14ac:dyDescent="0.3">
      <c r="B2" s="65" t="s">
        <v>44</v>
      </c>
      <c r="C2" s="66" t="s">
        <v>45</v>
      </c>
      <c r="D2" s="66" t="s">
        <v>46</v>
      </c>
      <c r="E2" s="66" t="s">
        <v>315</v>
      </c>
      <c r="F2" s="66" t="s">
        <v>42</v>
      </c>
      <c r="G2" s="67" t="s">
        <v>48</v>
      </c>
      <c r="H2" s="67" t="s">
        <v>49</v>
      </c>
      <c r="I2" s="68" t="s">
        <v>50</v>
      </c>
      <c r="J2" s="68" t="s">
        <v>51</v>
      </c>
      <c r="K2" s="69" t="s">
        <v>14</v>
      </c>
      <c r="L2" s="70" t="s">
        <v>52</v>
      </c>
    </row>
    <row r="3" spans="2:12" ht="16.5" thickBot="1" x14ac:dyDescent="0.3">
      <c r="B3" s="72" t="s">
        <v>316</v>
      </c>
      <c r="C3" s="72"/>
      <c r="D3" s="72"/>
      <c r="E3" s="72"/>
      <c r="F3" s="72"/>
      <c r="G3" s="73" t="s">
        <v>54</v>
      </c>
      <c r="H3" s="74">
        <f>COUNTA(D4:D496)</f>
        <v>31</v>
      </c>
      <c r="I3" s="75"/>
      <c r="J3" s="76" t="s">
        <v>55</v>
      </c>
      <c r="K3" s="77">
        <f>SUM(K4:K496)</f>
        <v>0</v>
      </c>
      <c r="L3" s="72"/>
    </row>
    <row r="4" spans="2:12" ht="30" customHeight="1" x14ac:dyDescent="0.25">
      <c r="B4" s="78" t="s">
        <v>317</v>
      </c>
      <c r="C4" s="79">
        <v>1</v>
      </c>
      <c r="D4" s="80" t="s">
        <v>10</v>
      </c>
      <c r="E4" s="104" t="s">
        <v>318</v>
      </c>
      <c r="F4" s="223" t="s">
        <v>43</v>
      </c>
      <c r="G4" s="224" t="s">
        <v>57</v>
      </c>
      <c r="H4" s="225">
        <f>COUNTIF(F4:F496,"Select from Drop Down")</f>
        <v>31</v>
      </c>
      <c r="I4" s="226">
        <f>VLOOKUP($D4,SpecData,2,FALSE)</f>
        <v>2</v>
      </c>
      <c r="J4" s="227">
        <f>VLOOKUP($F4,AvailabilityData,2,FALSE)</f>
        <v>0</v>
      </c>
      <c r="K4" s="228">
        <f>I4*J4</f>
        <v>0</v>
      </c>
      <c r="L4" s="20"/>
    </row>
    <row r="5" spans="2:12" ht="30" customHeight="1" x14ac:dyDescent="0.25">
      <c r="B5" s="78" t="str">
        <f>IF(C5="","",$B$4)</f>
        <v>IHaz</v>
      </c>
      <c r="C5" s="79">
        <f>IF(ISTEXT(D5),MAX($C$4:$C4)+1,"")</f>
        <v>2</v>
      </c>
      <c r="D5" s="80" t="s">
        <v>10</v>
      </c>
      <c r="E5" s="104" t="s">
        <v>319</v>
      </c>
      <c r="F5" s="223" t="s">
        <v>43</v>
      </c>
      <c r="G5" s="224" t="s">
        <v>59</v>
      </c>
      <c r="H5" s="225">
        <f>COUNTIF(F4:F496,"Function Available")</f>
        <v>0</v>
      </c>
      <c r="I5" s="226">
        <f>VLOOKUP($D5,SpecData,2,FALSE)</f>
        <v>2</v>
      </c>
      <c r="J5" s="227">
        <f>VLOOKUP($F5,AvailabilityData,2,FALSE)</f>
        <v>0</v>
      </c>
      <c r="K5" s="228">
        <f t="shared" ref="K5:K37" si="0">I5*J5</f>
        <v>0</v>
      </c>
      <c r="L5" s="20"/>
    </row>
    <row r="6" spans="2:12" ht="30" customHeight="1" x14ac:dyDescent="0.25">
      <c r="B6" s="78" t="str">
        <f>IF(C6="","",$B$4)</f>
        <v>IHaz</v>
      </c>
      <c r="C6" s="79">
        <f>IF(ISTEXT(D6),MAX($C$4:$C5)+1,"")</f>
        <v>3</v>
      </c>
      <c r="D6" s="80" t="s">
        <v>10</v>
      </c>
      <c r="E6" s="104" t="s">
        <v>320</v>
      </c>
      <c r="F6" s="223" t="s">
        <v>43</v>
      </c>
      <c r="G6" s="224" t="s">
        <v>61</v>
      </c>
      <c r="H6" s="231">
        <f>COUNTIF(F4:F496,"Function Not Available")</f>
        <v>0</v>
      </c>
      <c r="I6" s="226">
        <f t="shared" ref="I6:I37" si="1">VLOOKUP($D6,SpecData,2,FALSE)</f>
        <v>2</v>
      </c>
      <c r="J6" s="227">
        <f t="shared" ref="J6:J37" si="2">VLOOKUP($F6,AvailabilityData,2,FALSE)</f>
        <v>0</v>
      </c>
      <c r="K6" s="228">
        <f t="shared" si="0"/>
        <v>0</v>
      </c>
      <c r="L6" s="20"/>
    </row>
    <row r="7" spans="2:12" ht="30" customHeight="1" x14ac:dyDescent="0.25">
      <c r="B7" s="124" t="str">
        <f t="shared" ref="B7" si="3">IF(C7="","",$B$4)</f>
        <v/>
      </c>
      <c r="C7" s="125" t="str">
        <f>IF(ISTEXT(D7),MAX($C$6:$C6)+1,"")</f>
        <v/>
      </c>
      <c r="D7" s="126"/>
      <c r="E7" s="196" t="s">
        <v>321</v>
      </c>
      <c r="F7" s="128"/>
      <c r="G7" s="129"/>
      <c r="H7" s="129"/>
      <c r="I7" s="129"/>
      <c r="J7" s="129"/>
      <c r="K7" s="129"/>
      <c r="L7" s="129"/>
    </row>
    <row r="8" spans="2:12" ht="30" customHeight="1" x14ac:dyDescent="0.25">
      <c r="B8" s="78" t="str">
        <f t="shared" ref="B8:B37" si="4">IF(C8="","",$B$4)</f>
        <v>IHaz</v>
      </c>
      <c r="C8" s="79">
        <f>IF(ISTEXT(D8),MAX($C$4:$C6)+1,"")</f>
        <v>4</v>
      </c>
      <c r="D8" s="80" t="s">
        <v>10</v>
      </c>
      <c r="E8" s="136" t="s">
        <v>322</v>
      </c>
      <c r="F8" s="223" t="s">
        <v>43</v>
      </c>
      <c r="G8" s="224" t="s">
        <v>63</v>
      </c>
      <c r="H8" s="231">
        <f>COUNTIF(F4:F496,"Exception")</f>
        <v>0</v>
      </c>
      <c r="I8" s="226">
        <f t="shared" si="1"/>
        <v>2</v>
      </c>
      <c r="J8" s="227">
        <f t="shared" si="2"/>
        <v>0</v>
      </c>
      <c r="K8" s="228">
        <f t="shared" si="0"/>
        <v>0</v>
      </c>
      <c r="L8" s="20"/>
    </row>
    <row r="9" spans="2:12" ht="30" customHeight="1" x14ac:dyDescent="0.25">
      <c r="B9" s="78" t="str">
        <f t="shared" si="4"/>
        <v>IHaz</v>
      </c>
      <c r="C9" s="79">
        <f>IF(ISTEXT(D9),MAX($C$4:$C8)+1,"")</f>
        <v>5</v>
      </c>
      <c r="D9" s="80" t="s">
        <v>11</v>
      </c>
      <c r="E9" s="137" t="s">
        <v>323</v>
      </c>
      <c r="F9" s="223" t="s">
        <v>43</v>
      </c>
      <c r="G9" s="224" t="s">
        <v>65</v>
      </c>
      <c r="H9" s="232">
        <f>COUNTIFS(D:D,"=Crucial",F:F,"=Select From Drop Down")</f>
        <v>0</v>
      </c>
      <c r="I9" s="226">
        <f t="shared" si="1"/>
        <v>1</v>
      </c>
      <c r="J9" s="227">
        <f t="shared" si="2"/>
        <v>0</v>
      </c>
      <c r="K9" s="228">
        <f t="shared" si="0"/>
        <v>0</v>
      </c>
      <c r="L9" s="20"/>
    </row>
    <row r="10" spans="2:12" ht="30" customHeight="1" x14ac:dyDescent="0.25">
      <c r="B10" s="78" t="str">
        <f t="shared" si="4"/>
        <v>IHaz</v>
      </c>
      <c r="C10" s="79">
        <f>IF(ISTEXT(D10),MAX($C$4:$C9)+1,"")</f>
        <v>6</v>
      </c>
      <c r="D10" s="80" t="s">
        <v>11</v>
      </c>
      <c r="E10" s="137" t="s">
        <v>324</v>
      </c>
      <c r="F10" s="223" t="s">
        <v>43</v>
      </c>
      <c r="G10" s="224" t="s">
        <v>67</v>
      </c>
      <c r="H10" s="232">
        <f>COUNTIFS(D:D,"=Crucial",F:F,"=Function Available")</f>
        <v>0</v>
      </c>
      <c r="I10" s="226">
        <f t="shared" si="1"/>
        <v>1</v>
      </c>
      <c r="J10" s="227">
        <f t="shared" si="2"/>
        <v>0</v>
      </c>
      <c r="K10" s="228">
        <f t="shared" si="0"/>
        <v>0</v>
      </c>
      <c r="L10" s="20"/>
    </row>
    <row r="11" spans="2:12" ht="30" customHeight="1" x14ac:dyDescent="0.25">
      <c r="B11" s="78" t="str">
        <f t="shared" si="4"/>
        <v>IHaz</v>
      </c>
      <c r="C11" s="79">
        <f>IF(ISTEXT(D11),MAX($C$4:$C10)+1,"")</f>
        <v>7</v>
      </c>
      <c r="D11" s="80" t="s">
        <v>11</v>
      </c>
      <c r="E11" s="137" t="s">
        <v>325</v>
      </c>
      <c r="F11" s="223" t="s">
        <v>43</v>
      </c>
      <c r="G11" s="224" t="s">
        <v>69</v>
      </c>
      <c r="H11" s="232">
        <f>COUNTIFS(D:D,"=Crucial",F:F,"=Function Not Available")</f>
        <v>0</v>
      </c>
      <c r="I11" s="226">
        <f t="shared" si="1"/>
        <v>1</v>
      </c>
      <c r="J11" s="227">
        <f t="shared" si="2"/>
        <v>0</v>
      </c>
      <c r="K11" s="228">
        <f t="shared" si="0"/>
        <v>0</v>
      </c>
      <c r="L11" s="20"/>
    </row>
    <row r="12" spans="2:12" ht="30" customHeight="1" x14ac:dyDescent="0.25">
      <c r="B12" s="78" t="str">
        <f t="shared" si="4"/>
        <v>IHaz</v>
      </c>
      <c r="C12" s="79">
        <f>IF(ISTEXT(D12),MAX($C$4:$C11)+1,"")</f>
        <v>8</v>
      </c>
      <c r="D12" s="80" t="s">
        <v>10</v>
      </c>
      <c r="E12" s="137" t="s">
        <v>326</v>
      </c>
      <c r="F12" s="223" t="s">
        <v>43</v>
      </c>
      <c r="G12" s="224" t="s">
        <v>70</v>
      </c>
      <c r="H12" s="232">
        <f>COUNTIFS(D:D,"=Crucial",F:F,"=Exception")</f>
        <v>0</v>
      </c>
      <c r="I12" s="226">
        <f t="shared" si="1"/>
        <v>2</v>
      </c>
      <c r="J12" s="227">
        <f t="shared" si="2"/>
        <v>0</v>
      </c>
      <c r="K12" s="228">
        <f t="shared" si="0"/>
        <v>0</v>
      </c>
      <c r="L12" s="20"/>
    </row>
    <row r="13" spans="2:12" ht="30" customHeight="1" x14ac:dyDescent="0.25">
      <c r="B13" s="78" t="str">
        <f t="shared" si="4"/>
        <v>IHaz</v>
      </c>
      <c r="C13" s="79">
        <f>IF(ISTEXT(D13),MAX($C$4:$C12)+1,"")</f>
        <v>9</v>
      </c>
      <c r="D13" s="80" t="s">
        <v>11</v>
      </c>
      <c r="E13" s="137" t="s">
        <v>327</v>
      </c>
      <c r="F13" s="223" t="s">
        <v>43</v>
      </c>
      <c r="G13" s="233" t="s">
        <v>72</v>
      </c>
      <c r="H13" s="234">
        <f>COUNTIFS(D:D,"=Important",F:F,"=Select From Drop Down")</f>
        <v>25</v>
      </c>
      <c r="I13" s="226">
        <f t="shared" si="1"/>
        <v>1</v>
      </c>
      <c r="J13" s="227">
        <f t="shared" si="2"/>
        <v>0</v>
      </c>
      <c r="K13" s="228">
        <f t="shared" si="0"/>
        <v>0</v>
      </c>
      <c r="L13" s="20"/>
    </row>
    <row r="14" spans="2:12" ht="30" customHeight="1" x14ac:dyDescent="0.25">
      <c r="B14" s="78" t="str">
        <f t="shared" si="4"/>
        <v>IHaz</v>
      </c>
      <c r="C14" s="79">
        <f>IF(ISTEXT(D14),MAX($C$4:$C13)+1,"")</f>
        <v>10</v>
      </c>
      <c r="D14" s="80" t="s">
        <v>10</v>
      </c>
      <c r="E14" s="137" t="s">
        <v>328</v>
      </c>
      <c r="F14" s="223" t="s">
        <v>43</v>
      </c>
      <c r="G14" s="233" t="s">
        <v>74</v>
      </c>
      <c r="H14" s="234">
        <f>COUNTIFS(D:D,"=Important",F:F,"=Function Available")</f>
        <v>0</v>
      </c>
      <c r="I14" s="226">
        <f t="shared" si="1"/>
        <v>2</v>
      </c>
      <c r="J14" s="227">
        <f t="shared" si="2"/>
        <v>0</v>
      </c>
      <c r="K14" s="228">
        <f t="shared" si="0"/>
        <v>0</v>
      </c>
      <c r="L14" s="20"/>
    </row>
    <row r="15" spans="2:12" ht="30" customHeight="1" x14ac:dyDescent="0.25">
      <c r="B15" s="78" t="str">
        <f t="shared" si="4"/>
        <v>IHaz</v>
      </c>
      <c r="C15" s="79">
        <f>IF(ISTEXT(D15),MAX($C$4:$C14)+1,"")</f>
        <v>11</v>
      </c>
      <c r="D15" s="80" t="s">
        <v>10</v>
      </c>
      <c r="E15" s="137" t="s">
        <v>329</v>
      </c>
      <c r="F15" s="223" t="s">
        <v>43</v>
      </c>
      <c r="G15" s="224" t="s">
        <v>76</v>
      </c>
      <c r="H15" s="232">
        <f>COUNTIFS(D:D,"=Important",F:F,"=Function Not Available")</f>
        <v>0</v>
      </c>
      <c r="I15" s="235">
        <f t="shared" si="1"/>
        <v>2</v>
      </c>
      <c r="J15" s="236">
        <f t="shared" si="2"/>
        <v>0</v>
      </c>
      <c r="K15" s="228">
        <f t="shared" si="0"/>
        <v>0</v>
      </c>
      <c r="L15" s="20"/>
    </row>
    <row r="16" spans="2:12" ht="42.75" x14ac:dyDescent="0.25">
      <c r="B16" s="78" t="str">
        <f t="shared" si="4"/>
        <v>IHaz</v>
      </c>
      <c r="C16" s="79">
        <f>IF(ISTEXT(D16),MAX($C$4:$C15)+1,"")</f>
        <v>12</v>
      </c>
      <c r="D16" s="80" t="s">
        <v>11</v>
      </c>
      <c r="E16" s="138" t="s">
        <v>330</v>
      </c>
      <c r="F16" s="223" t="s">
        <v>43</v>
      </c>
      <c r="G16" s="224" t="s">
        <v>77</v>
      </c>
      <c r="H16" s="232">
        <f>COUNTIFS(D:D,"=Important",F:F,"=Exception")</f>
        <v>0</v>
      </c>
      <c r="I16" s="235">
        <f t="shared" si="1"/>
        <v>1</v>
      </c>
      <c r="J16" s="236">
        <f t="shared" si="2"/>
        <v>0</v>
      </c>
      <c r="K16" s="228">
        <f t="shared" si="0"/>
        <v>0</v>
      </c>
      <c r="L16" s="20"/>
    </row>
    <row r="17" spans="2:12" ht="30" customHeight="1" x14ac:dyDescent="0.25">
      <c r="B17" s="78" t="str">
        <f t="shared" si="4"/>
        <v>IHaz</v>
      </c>
      <c r="C17" s="79">
        <f>IF(ISTEXT(D17),MAX($C$4:$C16)+1,"")</f>
        <v>13</v>
      </c>
      <c r="D17" s="80" t="s">
        <v>10</v>
      </c>
      <c r="E17" s="138" t="s">
        <v>331</v>
      </c>
      <c r="F17" s="223" t="s">
        <v>43</v>
      </c>
      <c r="G17" s="224" t="s">
        <v>78</v>
      </c>
      <c r="H17" s="232">
        <f>COUNTIFS(D:D,"=Minimal",F:F,"=Select From Drop Down")</f>
        <v>6</v>
      </c>
      <c r="I17" s="235">
        <f t="shared" si="1"/>
        <v>2</v>
      </c>
      <c r="J17" s="236">
        <f t="shared" si="2"/>
        <v>0</v>
      </c>
      <c r="K17" s="228">
        <f t="shared" si="0"/>
        <v>0</v>
      </c>
      <c r="L17" s="20"/>
    </row>
    <row r="18" spans="2:12" ht="30" customHeight="1" x14ac:dyDescent="0.25">
      <c r="B18" s="78" t="str">
        <f t="shared" si="4"/>
        <v>IHaz</v>
      </c>
      <c r="C18" s="79">
        <f>IF(ISTEXT(D18),MAX($C$4:$C17)+1,"")</f>
        <v>14</v>
      </c>
      <c r="D18" s="80" t="s">
        <v>10</v>
      </c>
      <c r="E18" s="138" t="s">
        <v>332</v>
      </c>
      <c r="F18" s="223" t="s">
        <v>43</v>
      </c>
      <c r="G18" s="224" t="s">
        <v>80</v>
      </c>
      <c r="H18" s="232">
        <f>COUNTIFS(D:D,"=Minimal",F:F,"=Function Available")</f>
        <v>0</v>
      </c>
      <c r="I18" s="235">
        <f t="shared" si="1"/>
        <v>2</v>
      </c>
      <c r="J18" s="236">
        <f t="shared" si="2"/>
        <v>0</v>
      </c>
      <c r="K18" s="228">
        <f t="shared" si="0"/>
        <v>0</v>
      </c>
      <c r="L18" s="20"/>
    </row>
    <row r="19" spans="2:12" ht="30" customHeight="1" x14ac:dyDescent="0.25">
      <c r="B19" s="124" t="str">
        <f t="shared" si="4"/>
        <v/>
      </c>
      <c r="C19" s="125" t="str">
        <f>IF(ISTEXT(D19),MAX($C$6:$C18)+1,"")</f>
        <v/>
      </c>
      <c r="D19" s="126"/>
      <c r="E19" s="196" t="s">
        <v>333</v>
      </c>
      <c r="F19" s="128"/>
      <c r="G19" s="129"/>
      <c r="H19" s="129"/>
      <c r="I19" s="129"/>
      <c r="J19" s="129"/>
      <c r="K19" s="129"/>
      <c r="L19" s="129"/>
    </row>
    <row r="20" spans="2:12" ht="30" customHeight="1" x14ac:dyDescent="0.25">
      <c r="B20" s="78" t="str">
        <f t="shared" si="4"/>
        <v>IHaz</v>
      </c>
      <c r="C20" s="79">
        <f>IF(ISTEXT(D20),MAX($C$4:$C18)+1,"")</f>
        <v>15</v>
      </c>
      <c r="D20" s="80" t="s">
        <v>10</v>
      </c>
      <c r="E20" s="197" t="s">
        <v>593</v>
      </c>
      <c r="F20" s="223" t="s">
        <v>43</v>
      </c>
      <c r="G20" s="224" t="s">
        <v>82</v>
      </c>
      <c r="H20" s="232">
        <f>COUNTIFS(D:D,"=Minimal",F:F,"=Function Not Available")</f>
        <v>0</v>
      </c>
      <c r="I20" s="235">
        <f t="shared" si="1"/>
        <v>2</v>
      </c>
      <c r="J20" s="236">
        <f t="shared" si="2"/>
        <v>0</v>
      </c>
      <c r="K20" s="228">
        <f t="shared" si="0"/>
        <v>0</v>
      </c>
      <c r="L20" s="20"/>
    </row>
    <row r="21" spans="2:12" ht="30" customHeight="1" x14ac:dyDescent="0.25">
      <c r="B21" s="78" t="str">
        <f t="shared" si="4"/>
        <v>IHaz</v>
      </c>
      <c r="C21" s="79">
        <f>IF(ISTEXT(D21),MAX($C$4:$C20)+1,"")</f>
        <v>16</v>
      </c>
      <c r="D21" s="80" t="s">
        <v>10</v>
      </c>
      <c r="E21" s="198" t="s">
        <v>594</v>
      </c>
      <c r="F21" s="223" t="s">
        <v>43</v>
      </c>
      <c r="G21" s="224" t="s">
        <v>83</v>
      </c>
      <c r="H21" s="232">
        <f>COUNTIFS(D:D,"=Minimal",F:F,"=Exception")</f>
        <v>0</v>
      </c>
      <c r="I21" s="235">
        <f t="shared" si="1"/>
        <v>2</v>
      </c>
      <c r="J21" s="236">
        <f t="shared" si="2"/>
        <v>0</v>
      </c>
      <c r="K21" s="228">
        <f t="shared" si="0"/>
        <v>0</v>
      </c>
      <c r="L21" s="20"/>
    </row>
    <row r="22" spans="2:12" ht="30" customHeight="1" x14ac:dyDescent="0.25">
      <c r="B22" s="78" t="str">
        <f t="shared" si="4"/>
        <v>IHaz</v>
      </c>
      <c r="C22" s="79">
        <f>IF(ISTEXT(D22),MAX($C$4:$C21)+1,"")</f>
        <v>17</v>
      </c>
      <c r="D22" s="80" t="s">
        <v>10</v>
      </c>
      <c r="E22" s="198" t="s">
        <v>595</v>
      </c>
      <c r="F22" s="223" t="s">
        <v>43</v>
      </c>
      <c r="G22" s="224"/>
      <c r="H22" s="231"/>
      <c r="I22" s="235">
        <f t="shared" si="1"/>
        <v>2</v>
      </c>
      <c r="J22" s="236">
        <f t="shared" si="2"/>
        <v>0</v>
      </c>
      <c r="K22" s="228">
        <f t="shared" si="0"/>
        <v>0</v>
      </c>
      <c r="L22" s="20"/>
    </row>
    <row r="23" spans="2:12" ht="30" customHeight="1" x14ac:dyDescent="0.25">
      <c r="B23" s="124" t="str">
        <f t="shared" ref="B23" si="5">IF(C23="","",$B$4)</f>
        <v/>
      </c>
      <c r="C23" s="125" t="str">
        <f>IF(ISTEXT(D23),MAX($C$6:$C22)+1,"")</f>
        <v/>
      </c>
      <c r="D23" s="126"/>
      <c r="E23" s="196" t="s">
        <v>334</v>
      </c>
      <c r="F23" s="128"/>
      <c r="G23" s="129"/>
      <c r="H23" s="129"/>
      <c r="I23" s="129"/>
      <c r="J23" s="129"/>
      <c r="K23" s="129"/>
      <c r="L23" s="129"/>
    </row>
    <row r="24" spans="2:12" ht="29.65" customHeight="1" x14ac:dyDescent="0.25">
      <c r="B24" s="78" t="str">
        <f t="shared" si="4"/>
        <v>IHaz</v>
      </c>
      <c r="C24" s="79">
        <f>IF(ISTEXT(D24),MAX($C$4:$C22)+1,"")</f>
        <v>18</v>
      </c>
      <c r="D24" s="80" t="s">
        <v>10</v>
      </c>
      <c r="E24" s="136" t="s">
        <v>596</v>
      </c>
      <c r="F24" s="223" t="s">
        <v>43</v>
      </c>
      <c r="G24" s="224"/>
      <c r="H24" s="231"/>
      <c r="I24" s="235">
        <f t="shared" si="1"/>
        <v>2</v>
      </c>
      <c r="J24" s="236">
        <f t="shared" si="2"/>
        <v>0</v>
      </c>
      <c r="K24" s="228">
        <f t="shared" si="0"/>
        <v>0</v>
      </c>
      <c r="L24" s="20"/>
    </row>
    <row r="25" spans="2:12" ht="30" customHeight="1" x14ac:dyDescent="0.25">
      <c r="B25" s="78" t="str">
        <f t="shared" si="4"/>
        <v>IHaz</v>
      </c>
      <c r="C25" s="79">
        <f>IF(ISTEXT(D25),MAX($C$4:$C24)+1,"")</f>
        <v>19</v>
      </c>
      <c r="D25" s="80" t="s">
        <v>10</v>
      </c>
      <c r="E25" s="136" t="s">
        <v>335</v>
      </c>
      <c r="F25" s="223" t="s">
        <v>43</v>
      </c>
      <c r="G25" s="224"/>
      <c r="H25" s="231"/>
      <c r="I25" s="235">
        <f t="shared" si="1"/>
        <v>2</v>
      </c>
      <c r="J25" s="236">
        <f t="shared" si="2"/>
        <v>0</v>
      </c>
      <c r="K25" s="228">
        <f t="shared" si="0"/>
        <v>0</v>
      </c>
      <c r="L25" s="20"/>
    </row>
    <row r="26" spans="2:12" ht="30" customHeight="1" x14ac:dyDescent="0.25">
      <c r="B26" s="78" t="str">
        <f t="shared" si="4"/>
        <v>IHaz</v>
      </c>
      <c r="C26" s="79">
        <f>IF(ISTEXT(D26),MAX($C$4:$C25)+1,"")</f>
        <v>20</v>
      </c>
      <c r="D26" s="80" t="s">
        <v>10</v>
      </c>
      <c r="E26" s="136" t="s">
        <v>336</v>
      </c>
      <c r="F26" s="223" t="s">
        <v>43</v>
      </c>
      <c r="G26" s="224"/>
      <c r="H26" s="231"/>
      <c r="I26" s="235">
        <f t="shared" si="1"/>
        <v>2</v>
      </c>
      <c r="J26" s="236">
        <f t="shared" si="2"/>
        <v>0</v>
      </c>
      <c r="K26" s="228">
        <f t="shared" si="0"/>
        <v>0</v>
      </c>
      <c r="L26" s="20"/>
    </row>
    <row r="27" spans="2:12" ht="30" customHeight="1" x14ac:dyDescent="0.25">
      <c r="B27" s="78" t="str">
        <f t="shared" si="4"/>
        <v>IHaz</v>
      </c>
      <c r="C27" s="79">
        <f>IF(ISTEXT(D27),MAX($C$4:$C26)+1,"")</f>
        <v>21</v>
      </c>
      <c r="D27" s="80" t="s">
        <v>10</v>
      </c>
      <c r="E27" s="136" t="s">
        <v>337</v>
      </c>
      <c r="F27" s="223" t="s">
        <v>43</v>
      </c>
      <c r="G27" s="241"/>
      <c r="H27" s="242"/>
      <c r="I27" s="238">
        <f t="shared" si="1"/>
        <v>2</v>
      </c>
      <c r="J27" s="239">
        <f t="shared" si="2"/>
        <v>0</v>
      </c>
      <c r="K27" s="228">
        <f t="shared" si="0"/>
        <v>0</v>
      </c>
      <c r="L27" s="20"/>
    </row>
    <row r="28" spans="2:12" ht="30" customHeight="1" x14ac:dyDescent="0.25">
      <c r="B28" s="78" t="str">
        <f t="shared" si="4"/>
        <v>IHaz</v>
      </c>
      <c r="C28" s="79">
        <f>IF(ISTEXT(D28),MAX($C$4:$C27)+1,"")</f>
        <v>22</v>
      </c>
      <c r="D28" s="80" t="s">
        <v>10</v>
      </c>
      <c r="E28" s="136" t="s">
        <v>338</v>
      </c>
      <c r="F28" s="223" t="s">
        <v>43</v>
      </c>
      <c r="G28" s="233"/>
      <c r="H28" s="255"/>
      <c r="I28" s="226">
        <f t="shared" si="1"/>
        <v>2</v>
      </c>
      <c r="J28" s="227">
        <f t="shared" si="2"/>
        <v>0</v>
      </c>
      <c r="K28" s="228">
        <f t="shared" si="0"/>
        <v>0</v>
      </c>
      <c r="L28" s="20"/>
    </row>
    <row r="29" spans="2:12" ht="30" customHeight="1" x14ac:dyDescent="0.25">
      <c r="B29" s="78" t="str">
        <f t="shared" si="4"/>
        <v>IHaz</v>
      </c>
      <c r="C29" s="79">
        <f>IF(ISTEXT(D29),MAX($C$4:$C28)+1,"")</f>
        <v>23</v>
      </c>
      <c r="D29" s="80" t="s">
        <v>10</v>
      </c>
      <c r="E29" s="137" t="s">
        <v>597</v>
      </c>
      <c r="F29" s="223" t="s">
        <v>43</v>
      </c>
      <c r="G29" s="224"/>
      <c r="H29" s="231"/>
      <c r="I29" s="235">
        <f t="shared" si="1"/>
        <v>2</v>
      </c>
      <c r="J29" s="236">
        <f t="shared" si="2"/>
        <v>0</v>
      </c>
      <c r="K29" s="228">
        <f t="shared" si="0"/>
        <v>0</v>
      </c>
      <c r="L29" s="20"/>
    </row>
    <row r="30" spans="2:12" ht="30" customHeight="1" x14ac:dyDescent="0.25">
      <c r="B30" s="78" t="str">
        <f t="shared" si="4"/>
        <v>IHaz</v>
      </c>
      <c r="C30" s="79">
        <f>IF(ISTEXT(D30),MAX($C$4:$C29)+1,"")</f>
        <v>24</v>
      </c>
      <c r="D30" s="80" t="s">
        <v>10</v>
      </c>
      <c r="E30" s="137" t="s">
        <v>598</v>
      </c>
      <c r="F30" s="223" t="s">
        <v>43</v>
      </c>
      <c r="G30" s="241"/>
      <c r="H30" s="242"/>
      <c r="I30" s="238">
        <f t="shared" si="1"/>
        <v>2</v>
      </c>
      <c r="J30" s="239">
        <f t="shared" si="2"/>
        <v>0</v>
      </c>
      <c r="K30" s="228">
        <f t="shared" si="0"/>
        <v>0</v>
      </c>
      <c r="L30" s="20"/>
    </row>
    <row r="31" spans="2:12" ht="30" customHeight="1" x14ac:dyDescent="0.25">
      <c r="B31" s="78" t="str">
        <f t="shared" si="4"/>
        <v>IHaz</v>
      </c>
      <c r="C31" s="79">
        <f>IF(ISTEXT(D31),MAX($C$4:$C30)+1,"")</f>
        <v>25</v>
      </c>
      <c r="D31" s="80" t="s">
        <v>10</v>
      </c>
      <c r="E31" s="137" t="s">
        <v>339</v>
      </c>
      <c r="F31" s="223" t="s">
        <v>43</v>
      </c>
      <c r="G31" s="233"/>
      <c r="H31" s="255"/>
      <c r="I31" s="226">
        <f t="shared" si="1"/>
        <v>2</v>
      </c>
      <c r="J31" s="227">
        <f t="shared" si="2"/>
        <v>0</v>
      </c>
      <c r="K31" s="228">
        <f t="shared" si="0"/>
        <v>0</v>
      </c>
      <c r="L31" s="20"/>
    </row>
    <row r="32" spans="2:12" ht="30" customHeight="1" x14ac:dyDescent="0.25">
      <c r="B32" s="78" t="str">
        <f t="shared" si="4"/>
        <v>IHaz</v>
      </c>
      <c r="C32" s="79">
        <f>IF(ISTEXT(D32),MAX($C$4:$C31)+1,"")</f>
        <v>26</v>
      </c>
      <c r="D32" s="80" t="s">
        <v>10</v>
      </c>
      <c r="E32" s="198" t="s">
        <v>599</v>
      </c>
      <c r="F32" s="223" t="s">
        <v>43</v>
      </c>
      <c r="G32" s="224"/>
      <c r="H32" s="231"/>
      <c r="I32" s="235">
        <f t="shared" si="1"/>
        <v>2</v>
      </c>
      <c r="J32" s="236">
        <f t="shared" si="2"/>
        <v>0</v>
      </c>
      <c r="K32" s="228">
        <f t="shared" si="0"/>
        <v>0</v>
      </c>
      <c r="L32" s="20"/>
    </row>
    <row r="33" spans="2:12" ht="42.75" x14ac:dyDescent="0.25">
      <c r="B33" s="78" t="str">
        <f t="shared" si="4"/>
        <v>IHaz</v>
      </c>
      <c r="C33" s="79">
        <f>IF(ISTEXT(D33),MAX($C$4:$C32)+1,"")</f>
        <v>27</v>
      </c>
      <c r="D33" s="80" t="s">
        <v>10</v>
      </c>
      <c r="E33" s="104" t="s">
        <v>340</v>
      </c>
      <c r="F33" s="223" t="s">
        <v>43</v>
      </c>
      <c r="G33" s="224"/>
      <c r="H33" s="231"/>
      <c r="I33" s="235">
        <f t="shared" si="1"/>
        <v>2</v>
      </c>
      <c r="J33" s="236">
        <f t="shared" si="2"/>
        <v>0</v>
      </c>
      <c r="K33" s="228">
        <f t="shared" si="0"/>
        <v>0</v>
      </c>
      <c r="L33" s="20"/>
    </row>
    <row r="34" spans="2:12" ht="30" customHeight="1" x14ac:dyDescent="0.25">
      <c r="B34" s="78" t="str">
        <f t="shared" si="4"/>
        <v>IHaz</v>
      </c>
      <c r="C34" s="79">
        <f>IF(ISTEXT(D34),MAX($C$4:$C33)+1,"")</f>
        <v>28</v>
      </c>
      <c r="D34" s="80" t="s">
        <v>11</v>
      </c>
      <c r="E34" s="199" t="s">
        <v>341</v>
      </c>
      <c r="F34" s="223" t="s">
        <v>43</v>
      </c>
      <c r="G34" s="224"/>
      <c r="H34" s="231"/>
      <c r="I34" s="235">
        <f t="shared" si="1"/>
        <v>1</v>
      </c>
      <c r="J34" s="236">
        <f t="shared" si="2"/>
        <v>0</v>
      </c>
      <c r="K34" s="228">
        <f t="shared" si="0"/>
        <v>0</v>
      </c>
      <c r="L34" s="20"/>
    </row>
    <row r="35" spans="2:12" ht="30" customHeight="1" x14ac:dyDescent="0.25">
      <c r="B35" s="78" t="str">
        <f t="shared" si="4"/>
        <v>IHaz</v>
      </c>
      <c r="C35" s="79">
        <f>IF(ISTEXT(D35),MAX($C$4:$C34)+1,"")</f>
        <v>29</v>
      </c>
      <c r="D35" s="80" t="s">
        <v>10</v>
      </c>
      <c r="E35" s="104" t="s">
        <v>342</v>
      </c>
      <c r="F35" s="223" t="s">
        <v>43</v>
      </c>
      <c r="G35" s="224"/>
      <c r="H35" s="231"/>
      <c r="I35" s="235">
        <f t="shared" si="1"/>
        <v>2</v>
      </c>
      <c r="J35" s="236">
        <f t="shared" si="2"/>
        <v>0</v>
      </c>
      <c r="K35" s="228">
        <f t="shared" si="0"/>
        <v>0</v>
      </c>
      <c r="L35" s="20"/>
    </row>
    <row r="36" spans="2:12" ht="30" customHeight="1" x14ac:dyDescent="0.25">
      <c r="B36" s="78" t="str">
        <f t="shared" si="4"/>
        <v>IHaz</v>
      </c>
      <c r="C36" s="79">
        <f>IF(ISTEXT(D36),MAX($C$4:$C35)+1,"")</f>
        <v>30</v>
      </c>
      <c r="D36" s="80" t="s">
        <v>10</v>
      </c>
      <c r="E36" s="104" t="s">
        <v>343</v>
      </c>
      <c r="F36" s="223" t="s">
        <v>43</v>
      </c>
      <c r="G36" s="224"/>
      <c r="H36" s="231"/>
      <c r="I36" s="235">
        <f t="shared" si="1"/>
        <v>2</v>
      </c>
      <c r="J36" s="236">
        <f t="shared" si="2"/>
        <v>0</v>
      </c>
      <c r="K36" s="228">
        <f t="shared" si="0"/>
        <v>0</v>
      </c>
      <c r="L36" s="20"/>
    </row>
    <row r="37" spans="2:12" ht="30" customHeight="1" x14ac:dyDescent="0.25">
      <c r="B37" s="78" t="str">
        <f t="shared" si="4"/>
        <v>IHaz</v>
      </c>
      <c r="C37" s="79">
        <f>IF(ISTEXT(D37),MAX($C$4:$C36)+1,"")</f>
        <v>31</v>
      </c>
      <c r="D37" s="80" t="s">
        <v>10</v>
      </c>
      <c r="E37" s="104" t="s">
        <v>344</v>
      </c>
      <c r="F37" s="223" t="s">
        <v>43</v>
      </c>
      <c r="G37" s="224"/>
      <c r="H37" s="231"/>
      <c r="I37" s="235">
        <f t="shared" si="1"/>
        <v>2</v>
      </c>
      <c r="J37" s="236">
        <f t="shared" si="2"/>
        <v>0</v>
      </c>
      <c r="K37" s="228">
        <f t="shared" si="0"/>
        <v>0</v>
      </c>
      <c r="L37" s="20"/>
    </row>
    <row r="38" spans="2:12" x14ac:dyDescent="0.25"/>
  </sheetData>
  <sheetProtection algorithmName="SHA-512" hashValue="JKaOrLwZ3866g5JnmlKyOo4MNAurwSIIMH3cd/r5YxhfadHGYw7o+4K0gLP/m3ogKkcQ5GhV6AsXUUNJubpj1g==" saltValue="P9+eOmplmBGM1/hET+hFkA==" spinCount="100000" sheet="1" selectLockedCells="1"/>
  <conditionalFormatting sqref="D4:D6 D8:D18 D20:D22 D24:D37">
    <cfRule type="cellIs" dxfId="80" priority="1" operator="equal">
      <formula>"Important"</formula>
    </cfRule>
    <cfRule type="cellIs" dxfId="79" priority="2" operator="equal">
      <formula>"Crucial"</formula>
    </cfRule>
    <cfRule type="cellIs" dxfId="78" priority="3" operator="equal">
      <formula>"N/A"</formula>
    </cfRule>
  </conditionalFormatting>
  <conditionalFormatting sqref="F4:F37">
    <cfRule type="cellIs" dxfId="77" priority="7" operator="equal">
      <formula>"Function Not Available"</formula>
    </cfRule>
    <cfRule type="cellIs" dxfId="76" priority="8" operator="equal">
      <formula>"Function Available"</formula>
    </cfRule>
    <cfRule type="cellIs" dxfId="75" priority="9" operator="equal">
      <formula>"Exception"</formula>
    </cfRule>
  </conditionalFormatting>
  <dataValidations count="3">
    <dataValidation type="list" allowBlank="1" showInputMessage="1" showErrorMessage="1" errorTitle="Invalid specification type" error="Please enter a Specification type from the drop-down list." sqref="F6 F8:F18 F20:F22 F24:F37" xr:uid="{00000000-0002-0000-1500-000000000000}">
      <formula1>AvailabilityType</formula1>
    </dataValidation>
    <dataValidation type="list" allowBlank="1" showInputMessage="1" showErrorMessage="1" sqref="D20:D22 D4:D6 D8:D18 D24:D37" xr:uid="{EF423C5A-31EA-4A70-AB1D-5249E36D2F83}">
      <formula1>SpecType</formula1>
    </dataValidation>
    <dataValidation type="list" allowBlank="1" showInputMessage="1" showErrorMessage="1" sqref="F4:F5" xr:uid="{00000000-0002-0000-1500-000002000000}">
      <formula1>AvailabilityType</formula1>
    </dataValidation>
  </dataValidations>
  <pageMargins left="0.7" right="0.7" top="0.75" bottom="0.75" header="0.3" footer="0.3"/>
  <pageSetup scale="47" fitToHeight="0" orientation="portrait" r:id="rId1"/>
  <headerFooter>
    <oddHeader>&amp;CGCCDA
&amp;F&amp;R&amp;A</oddHeader>
    <oddFooter>&amp;LTSSI Consulting LLC, March 2026&amp;CPage &amp;P of &amp;N</oddFooter>
  </headerFooter>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CC00"/>
    <pageSetUpPr fitToPage="1"/>
  </sheetPr>
  <dimension ref="A1:M42"/>
  <sheetViews>
    <sheetView showGridLines="0" zoomScale="80" zoomScaleNormal="80" workbookViewId="0">
      <selection activeCell="F4" sqref="F4"/>
    </sheetView>
  </sheetViews>
  <sheetFormatPr defaultColWidth="0" defaultRowHeight="15" zeroHeight="1" x14ac:dyDescent="0.25"/>
  <cols>
    <col min="1" max="1" width="1.7109375" customWidth="1"/>
    <col min="2" max="2" width="11.7109375" customWidth="1"/>
    <col min="3" max="3" width="11.42578125" customWidth="1"/>
    <col min="4" max="4" width="23.28515625" customWidth="1"/>
    <col min="5" max="5" width="65.7109375" style="63" customWidth="1"/>
    <col min="6" max="6" width="28.7109375" customWidth="1"/>
    <col min="7" max="7" width="15.42578125" style="64" hidden="1" customWidth="1"/>
    <col min="8" max="11" width="12.7109375" hidden="1" customWidth="1"/>
    <col min="12" max="12" width="49.42578125" customWidth="1"/>
    <col min="13" max="13" width="8.7109375" customWidth="1"/>
    <col min="14" max="16384" width="8.7109375" hidden="1"/>
  </cols>
  <sheetData>
    <row r="1" spans="2:12" ht="7.9" customHeight="1" thickBot="1" x14ac:dyDescent="0.3"/>
    <row r="2" spans="2:12" ht="129" customHeight="1" thickBot="1" x14ac:dyDescent="0.3">
      <c r="B2" s="95" t="s">
        <v>44</v>
      </c>
      <c r="C2" s="95" t="s">
        <v>45</v>
      </c>
      <c r="D2" s="95" t="s">
        <v>46</v>
      </c>
      <c r="E2" s="95" t="s">
        <v>345</v>
      </c>
      <c r="F2" s="95" t="s">
        <v>42</v>
      </c>
      <c r="G2" s="96" t="s">
        <v>48</v>
      </c>
      <c r="H2" s="96" t="s">
        <v>49</v>
      </c>
      <c r="I2" s="97" t="s">
        <v>50</v>
      </c>
      <c r="J2" s="97" t="s">
        <v>51</v>
      </c>
      <c r="K2" s="98" t="s">
        <v>14</v>
      </c>
      <c r="L2" s="99" t="s">
        <v>52</v>
      </c>
    </row>
    <row r="3" spans="2:12" ht="16.5" thickBot="1" x14ac:dyDescent="0.3">
      <c r="B3" s="100" t="s">
        <v>346</v>
      </c>
      <c r="C3" s="72"/>
      <c r="D3" s="72"/>
      <c r="E3" s="72"/>
      <c r="F3" s="72"/>
      <c r="G3" s="73" t="s">
        <v>54</v>
      </c>
      <c r="H3" s="74">
        <f>COUNTA(D4:D478)</f>
        <v>6</v>
      </c>
      <c r="I3" s="75"/>
      <c r="J3" s="76" t="s">
        <v>55</v>
      </c>
      <c r="K3" s="77">
        <f t="shared" ref="K3" si="0">SUM(K4:K478)</f>
        <v>0</v>
      </c>
      <c r="L3" s="101"/>
    </row>
    <row r="4" spans="2:12" ht="30" customHeight="1" x14ac:dyDescent="0.25">
      <c r="B4" s="102" t="s">
        <v>347</v>
      </c>
      <c r="C4" s="79">
        <v>1</v>
      </c>
      <c r="D4" s="80" t="s">
        <v>9</v>
      </c>
      <c r="E4" s="138" t="s">
        <v>714</v>
      </c>
      <c r="F4" s="223" t="s">
        <v>43</v>
      </c>
      <c r="G4" s="224" t="s">
        <v>57</v>
      </c>
      <c r="H4" s="225">
        <f>COUNTIF(F4:F478,"Select from Drop Down")</f>
        <v>6</v>
      </c>
      <c r="I4" s="226">
        <f>VLOOKUP($D4,SpecData,2,FALSE)</f>
        <v>3</v>
      </c>
      <c r="J4" s="227">
        <f>VLOOKUP($F4,AvailabilityData,2,FALSE)</f>
        <v>0</v>
      </c>
      <c r="K4" s="228">
        <f>I4*J4</f>
        <v>0</v>
      </c>
      <c r="L4" s="26"/>
    </row>
    <row r="5" spans="2:12" ht="30" customHeight="1" x14ac:dyDescent="0.25">
      <c r="B5" s="102" t="str">
        <f>IF(C5="","",$B$4)</f>
        <v>ILogR</v>
      </c>
      <c r="C5" s="79">
        <f>IF(ISTEXT(D5),MAX($C$4:$C4)+1,"")</f>
        <v>2</v>
      </c>
      <c r="D5" s="80" t="s">
        <v>11</v>
      </c>
      <c r="E5" s="138" t="s">
        <v>348</v>
      </c>
      <c r="F5" s="223" t="s">
        <v>43</v>
      </c>
      <c r="G5" s="224" t="s">
        <v>59</v>
      </c>
      <c r="H5" s="225">
        <f>COUNTIF(F4:F478,"Function Available")</f>
        <v>0</v>
      </c>
      <c r="I5" s="226">
        <f>VLOOKUP($D5,SpecData,2,FALSE)</f>
        <v>1</v>
      </c>
      <c r="J5" s="227">
        <f>VLOOKUP($F5,AvailabilityData,2,FALSE)</f>
        <v>0</v>
      </c>
      <c r="K5" s="228">
        <f t="shared" ref="K5:K9" si="1">I5*J5</f>
        <v>0</v>
      </c>
      <c r="L5" s="26"/>
    </row>
    <row r="6" spans="2:12" ht="30" customHeight="1" x14ac:dyDescent="0.25">
      <c r="B6" s="102" t="str">
        <f>IF(C6="","",$B$4)</f>
        <v>ILogR</v>
      </c>
      <c r="C6" s="79">
        <f>IF(ISTEXT(D6),MAX($C$4:$C5)+1,"")</f>
        <v>3</v>
      </c>
      <c r="D6" s="80" t="s">
        <v>9</v>
      </c>
      <c r="E6" s="138" t="s">
        <v>349</v>
      </c>
      <c r="F6" s="223" t="s">
        <v>43</v>
      </c>
      <c r="G6" s="224" t="s">
        <v>61</v>
      </c>
      <c r="H6" s="231">
        <f>COUNTIF(F4:F478,"Function Not Available")</f>
        <v>0</v>
      </c>
      <c r="I6" s="226">
        <f t="shared" ref="I6:I9" si="2">VLOOKUP($D6,SpecData,2,FALSE)</f>
        <v>3</v>
      </c>
      <c r="J6" s="227">
        <f t="shared" ref="J6:J9" si="3">VLOOKUP($F6,AvailabilityData,2,FALSE)</f>
        <v>0</v>
      </c>
      <c r="K6" s="228">
        <f t="shared" si="1"/>
        <v>0</v>
      </c>
      <c r="L6" s="26"/>
    </row>
    <row r="7" spans="2:12" ht="30" customHeight="1" x14ac:dyDescent="0.25">
      <c r="B7" s="102" t="str">
        <f t="shared" ref="B7:B9" si="4">IF(C7="","",$B$4)</f>
        <v>ILogR</v>
      </c>
      <c r="C7" s="79">
        <f>IF(ISTEXT(D7),MAX($C$4:$C6)+1,"")</f>
        <v>4</v>
      </c>
      <c r="D7" s="80" t="s">
        <v>10</v>
      </c>
      <c r="E7" s="138" t="s">
        <v>350</v>
      </c>
      <c r="F7" s="223" t="s">
        <v>43</v>
      </c>
      <c r="G7" s="224" t="s">
        <v>63</v>
      </c>
      <c r="H7" s="231">
        <f>COUNTIF(F4:F478,"Exception")</f>
        <v>0</v>
      </c>
      <c r="I7" s="226">
        <f t="shared" si="2"/>
        <v>2</v>
      </c>
      <c r="J7" s="227">
        <f t="shared" si="3"/>
        <v>0</v>
      </c>
      <c r="K7" s="228">
        <f t="shared" si="1"/>
        <v>0</v>
      </c>
      <c r="L7" s="26"/>
    </row>
    <row r="8" spans="2:12" ht="30" customHeight="1" x14ac:dyDescent="0.25">
      <c r="B8" s="102" t="str">
        <f t="shared" si="4"/>
        <v>ILogR</v>
      </c>
      <c r="C8" s="79">
        <f>IF(ISTEXT(D8),MAX($C$4:$C7)+1,"")</f>
        <v>5</v>
      </c>
      <c r="D8" s="80" t="s">
        <v>10</v>
      </c>
      <c r="E8" s="138" t="s">
        <v>351</v>
      </c>
      <c r="F8" s="223" t="s">
        <v>43</v>
      </c>
      <c r="G8" s="224" t="s">
        <v>65</v>
      </c>
      <c r="H8" s="232">
        <f>COUNTIFS(D:D,"=Crucial",F:F,"=Select From Drop Down")</f>
        <v>2</v>
      </c>
      <c r="I8" s="226">
        <f t="shared" si="2"/>
        <v>2</v>
      </c>
      <c r="J8" s="227">
        <f t="shared" si="3"/>
        <v>0</v>
      </c>
      <c r="K8" s="228">
        <f t="shared" si="1"/>
        <v>0</v>
      </c>
      <c r="L8" s="26"/>
    </row>
    <row r="9" spans="2:12" ht="30" customHeight="1" thickBot="1" x14ac:dyDescent="0.3">
      <c r="B9" s="105" t="str">
        <f t="shared" si="4"/>
        <v>ILogR</v>
      </c>
      <c r="C9" s="106">
        <f>IF(ISTEXT(D9),MAX($C$4:$C8)+1,"")</f>
        <v>6</v>
      </c>
      <c r="D9" s="200" t="s">
        <v>11</v>
      </c>
      <c r="E9" s="201" t="s">
        <v>352</v>
      </c>
      <c r="F9" s="284" t="s">
        <v>43</v>
      </c>
      <c r="G9" s="285" t="s">
        <v>67</v>
      </c>
      <c r="H9" s="286">
        <f>COUNTIFS(D:D,"=Crucial",F:F,"=Function Available")</f>
        <v>0</v>
      </c>
      <c r="I9" s="247">
        <f t="shared" si="2"/>
        <v>1</v>
      </c>
      <c r="J9" s="248">
        <f t="shared" si="3"/>
        <v>0</v>
      </c>
      <c r="K9" s="249">
        <f t="shared" si="1"/>
        <v>0</v>
      </c>
      <c r="L9" s="27"/>
    </row>
    <row r="10" spans="2:12" ht="30" hidden="1" customHeight="1" x14ac:dyDescent="0.25">
      <c r="B10" s="109"/>
      <c r="C10" s="109"/>
      <c r="D10" s="110"/>
      <c r="E10" s="191"/>
      <c r="F10" s="112"/>
      <c r="G10" s="73" t="s">
        <v>69</v>
      </c>
      <c r="H10" s="113">
        <f>COUNTIFS(D:D,"=Crucial",F:F,"=Function Not Available")</f>
        <v>0</v>
      </c>
      <c r="I10" s="114"/>
      <c r="J10" s="115"/>
      <c r="K10" s="114"/>
      <c r="L10" s="116"/>
    </row>
    <row r="11" spans="2:12" ht="30" hidden="1" customHeight="1" x14ac:dyDescent="0.25">
      <c r="B11" s="192"/>
      <c r="C11" s="192"/>
      <c r="D11" s="193"/>
      <c r="E11" s="202"/>
      <c r="F11" s="118"/>
      <c r="G11" s="62" t="s">
        <v>70</v>
      </c>
      <c r="H11" s="119">
        <f>COUNTIFS(D:D,"=Crucial",F:F,"=Exception")</f>
        <v>0</v>
      </c>
      <c r="I11" s="120"/>
      <c r="J11" s="121"/>
      <c r="K11" s="120"/>
      <c r="L11" s="85"/>
    </row>
    <row r="12" spans="2:12" ht="30" hidden="1" customHeight="1" x14ac:dyDescent="0.25">
      <c r="B12" s="192"/>
      <c r="C12" s="192"/>
      <c r="D12" s="193"/>
      <c r="E12" s="122"/>
      <c r="F12" s="118"/>
      <c r="G12" s="73" t="s">
        <v>72</v>
      </c>
      <c r="H12" s="113">
        <f>COUNTIFS(D:D,"=Important",F:F,"=Select From Drop Down")</f>
        <v>2</v>
      </c>
      <c r="I12" s="120"/>
      <c r="J12" s="121"/>
      <c r="K12" s="120"/>
      <c r="L12" s="85"/>
    </row>
    <row r="13" spans="2:12" ht="30" hidden="1" customHeight="1" x14ac:dyDescent="0.25">
      <c r="B13" s="192"/>
      <c r="C13" s="192"/>
      <c r="D13" s="193"/>
      <c r="E13" s="122"/>
      <c r="F13" s="118"/>
      <c r="G13" s="73" t="s">
        <v>74</v>
      </c>
      <c r="H13" s="113">
        <f>COUNTIFS(D:D,"=Important",F:F,"=Function Available")</f>
        <v>0</v>
      </c>
      <c r="I13" s="120"/>
      <c r="J13" s="121"/>
      <c r="K13" s="120"/>
      <c r="L13" s="85"/>
    </row>
    <row r="14" spans="2:12" ht="30" hidden="1" customHeight="1" x14ac:dyDescent="0.25">
      <c r="B14" s="192"/>
      <c r="C14" s="192"/>
      <c r="D14" s="193"/>
      <c r="E14" s="122"/>
      <c r="F14" s="118"/>
      <c r="G14" s="62" t="s">
        <v>76</v>
      </c>
      <c r="H14" s="119">
        <f>COUNTIFS(D:D,"=Important",F:F,"=Function Not Available")</f>
        <v>0</v>
      </c>
      <c r="I14" s="120"/>
      <c r="J14" s="121"/>
      <c r="K14" s="120"/>
      <c r="L14" s="85"/>
    </row>
    <row r="15" spans="2:12" ht="30" hidden="1" customHeight="1" x14ac:dyDescent="0.25">
      <c r="B15" s="192"/>
      <c r="C15" s="192"/>
      <c r="D15" s="193"/>
      <c r="E15" s="122"/>
      <c r="F15" s="118"/>
      <c r="G15" s="62" t="s">
        <v>77</v>
      </c>
      <c r="H15" s="119">
        <f>COUNTIFS(D:D,"=Important",F:F,"=Exception")</f>
        <v>0</v>
      </c>
      <c r="I15" s="120"/>
      <c r="J15" s="121"/>
      <c r="K15" s="120"/>
      <c r="L15" s="85"/>
    </row>
    <row r="16" spans="2:12" ht="30" hidden="1" customHeight="1" x14ac:dyDescent="0.25">
      <c r="B16" s="192"/>
      <c r="C16" s="192"/>
      <c r="D16" s="193"/>
      <c r="E16" s="122"/>
      <c r="F16" s="118"/>
      <c r="G16" s="62" t="s">
        <v>78</v>
      </c>
      <c r="H16" s="119">
        <f>COUNTIFS(D:D,"=Minimal",F:F,"=Select From Drop Down")</f>
        <v>2</v>
      </c>
      <c r="I16" s="120"/>
      <c r="J16" s="121"/>
      <c r="K16" s="120"/>
      <c r="L16" s="85"/>
    </row>
    <row r="17" spans="2:12" ht="30" hidden="1" customHeight="1" x14ac:dyDescent="0.25">
      <c r="B17" s="192"/>
      <c r="C17" s="192"/>
      <c r="D17" s="193"/>
      <c r="E17" s="122"/>
      <c r="F17" s="118"/>
      <c r="G17" s="62" t="s">
        <v>80</v>
      </c>
      <c r="H17" s="119">
        <f>COUNTIFS(D:D,"=Minimal",F:F,"=Function Available")</f>
        <v>0</v>
      </c>
      <c r="I17" s="120"/>
      <c r="J17" s="121"/>
      <c r="K17" s="120"/>
      <c r="L17" s="85"/>
    </row>
    <row r="18" spans="2:12" ht="30" hidden="1" customHeight="1" x14ac:dyDescent="0.25">
      <c r="B18" s="192"/>
      <c r="C18" s="192"/>
      <c r="D18" s="193"/>
      <c r="E18" s="122"/>
      <c r="F18" s="118"/>
      <c r="G18" s="62" t="s">
        <v>82</v>
      </c>
      <c r="H18" s="119">
        <f>COUNTIFS(D:D,"=Minimal",F:F,"=Function Not Available")</f>
        <v>0</v>
      </c>
      <c r="I18" s="120"/>
      <c r="J18" s="121"/>
      <c r="K18" s="120"/>
      <c r="L18" s="85"/>
    </row>
    <row r="19" spans="2:12" ht="30" hidden="1" customHeight="1" x14ac:dyDescent="0.25">
      <c r="B19" s="192"/>
      <c r="C19" s="192"/>
      <c r="D19" s="193"/>
      <c r="E19" s="122"/>
      <c r="F19" s="118"/>
      <c r="G19" s="62" t="s">
        <v>83</v>
      </c>
      <c r="H19" s="119">
        <f>COUNTIFS(D:D,"=Minimal",F:F,"=Exception")</f>
        <v>0</v>
      </c>
      <c r="I19" s="120"/>
      <c r="J19" s="121"/>
      <c r="K19" s="120"/>
      <c r="L19" s="85"/>
    </row>
    <row r="20" spans="2:12" ht="9" customHeight="1" x14ac:dyDescent="0.25">
      <c r="F20" s="64"/>
      <c r="G20"/>
    </row>
    <row r="21" spans="2:12" ht="9" hidden="1" customHeight="1" x14ac:dyDescent="0.25"/>
    <row r="22" spans="2:12" ht="9" hidden="1" customHeight="1" x14ac:dyDescent="0.25"/>
    <row r="23" spans="2:12" ht="9" hidden="1" customHeight="1" x14ac:dyDescent="0.25"/>
    <row r="24" spans="2:12" ht="9" hidden="1" customHeight="1" x14ac:dyDescent="0.25"/>
    <row r="25" spans="2:12" ht="9" hidden="1" customHeight="1" x14ac:dyDescent="0.25"/>
    <row r="26" spans="2:12" ht="9" hidden="1" customHeight="1" x14ac:dyDescent="0.25"/>
    <row r="27" spans="2:12" ht="9" hidden="1" customHeight="1" x14ac:dyDescent="0.25"/>
    <row r="28" spans="2:12" ht="9" hidden="1" customHeight="1" x14ac:dyDescent="0.25"/>
    <row r="29" spans="2:12" ht="9" hidden="1" customHeight="1" x14ac:dyDescent="0.25"/>
    <row r="30" spans="2:12" ht="9" hidden="1" customHeight="1" x14ac:dyDescent="0.25"/>
    <row r="31" spans="2:12" ht="9" hidden="1" customHeight="1" x14ac:dyDescent="0.25"/>
    <row r="32" spans="2:12" ht="9" hidden="1" customHeight="1" x14ac:dyDescent="0.25"/>
    <row r="33" ht="9" hidden="1" customHeight="1" x14ac:dyDescent="0.25"/>
    <row r="34" ht="9" hidden="1" customHeight="1" x14ac:dyDescent="0.25"/>
    <row r="35" ht="9" hidden="1" customHeight="1" x14ac:dyDescent="0.25"/>
    <row r="36" ht="9" hidden="1" customHeight="1" x14ac:dyDescent="0.25"/>
    <row r="37" ht="9" hidden="1" customHeight="1" x14ac:dyDescent="0.25"/>
    <row r="38" ht="9" hidden="1" customHeight="1" x14ac:dyDescent="0.25"/>
    <row r="39" ht="9" hidden="1" customHeight="1" x14ac:dyDescent="0.25"/>
    <row r="40" ht="9" hidden="1" customHeight="1" x14ac:dyDescent="0.25"/>
    <row r="41" ht="9" hidden="1" customHeight="1" x14ac:dyDescent="0.25"/>
    <row r="42" ht="9" hidden="1" customHeight="1" x14ac:dyDescent="0.25"/>
  </sheetData>
  <sheetProtection algorithmName="SHA-512" hashValue="6V7GDE9bQ4t8NpnwkXcYs1inMOFS6aTUmeFx2TwQ7Uvid2XU42IE4827W9YCRUxTwoa0R8dbu9mFyLI6A6fzzw==" saltValue="BttUvHhkHnQSPeIt6vTk0g==" spinCount="100000" sheet="1" selectLockedCells="1"/>
  <conditionalFormatting sqref="D4:D19">
    <cfRule type="cellIs" dxfId="74" priority="10" operator="equal">
      <formula>"Important"</formula>
    </cfRule>
    <cfRule type="cellIs" dxfId="73" priority="11" operator="equal">
      <formula>"Crucial"</formula>
    </cfRule>
    <cfRule type="cellIs" dxfId="72" priority="12" operator="equal">
      <formula>"N/A"</formula>
    </cfRule>
  </conditionalFormatting>
  <conditionalFormatting sqref="F4:F19">
    <cfRule type="cellIs" dxfId="71" priority="1" operator="equal">
      <formula>"Function Not Available"</formula>
    </cfRule>
    <cfRule type="cellIs" dxfId="70" priority="2" operator="equal">
      <formula>"Function Available"</formula>
    </cfRule>
    <cfRule type="cellIs" dxfId="69" priority="3" operator="equal">
      <formula>"Exception"</formula>
    </cfRule>
  </conditionalFormatting>
  <dataValidations count="3">
    <dataValidation type="list" allowBlank="1" showInputMessage="1" showErrorMessage="1" errorTitle="Invalid specification type" error="Please enter a Specification type from the drop-down list." sqref="F6:F9" xr:uid="{00000000-0002-0000-1600-000000000000}">
      <formula1>AvailabilityType</formula1>
    </dataValidation>
    <dataValidation type="list" allowBlank="1" showInputMessage="1" showErrorMessage="1" sqref="D4:D9" xr:uid="{00000000-0002-0000-1600-000001000000}">
      <formula1>SpecType</formula1>
    </dataValidation>
    <dataValidation type="list" allowBlank="1" showInputMessage="1" showErrorMessage="1" sqref="F4:F5" xr:uid="{00000000-0002-0000-1600-000002000000}">
      <formula1>AvailabilityType</formula1>
    </dataValidation>
  </dataValidations>
  <pageMargins left="0.7" right="0.7" top="0.75" bottom="0.75" header="0.3" footer="0.3"/>
  <pageSetup scale="47" fitToHeight="0" orientation="portrait" r:id="rId1"/>
  <headerFooter>
    <oddHeader>&amp;CGCCDA
&amp;F&amp;R&amp;A</oddHeader>
    <oddFooter>&amp;LTSSI Consulting LLC, March 2026&amp;CPage &amp;P of &amp;N</oddFooter>
  </headerFooter>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12">
    <tabColor rgb="FFFFCC00"/>
    <pageSetUpPr fitToPage="1"/>
  </sheetPr>
  <dimension ref="A1:M22"/>
  <sheetViews>
    <sheetView showGridLines="0" zoomScale="80" zoomScaleNormal="80" zoomScalePageLayoutView="40" workbookViewId="0">
      <selection activeCell="F4" sqref="F4"/>
    </sheetView>
  </sheetViews>
  <sheetFormatPr defaultColWidth="0" defaultRowHeight="15" zeroHeight="1" x14ac:dyDescent="0.25"/>
  <cols>
    <col min="1" max="1" width="1.42578125" customWidth="1"/>
    <col min="2" max="2" width="11.7109375" customWidth="1"/>
    <col min="3" max="3" width="11.42578125" customWidth="1"/>
    <col min="4" max="4" width="23.28515625" customWidth="1"/>
    <col min="5" max="5" width="65.7109375" style="63" customWidth="1"/>
    <col min="6" max="6" width="28.7109375" customWidth="1"/>
    <col min="7" max="7" width="15.42578125" style="64" hidden="1" customWidth="1"/>
    <col min="8" max="11" width="12.7109375" hidden="1" customWidth="1"/>
    <col min="12" max="12" width="49.42578125" customWidth="1"/>
    <col min="13" max="13" width="2" customWidth="1"/>
    <col min="14" max="16384" width="9.28515625" hidden="1"/>
  </cols>
  <sheetData>
    <row r="1" spans="2:12" ht="4.9000000000000004" customHeight="1" x14ac:dyDescent="0.25"/>
    <row r="2" spans="2:12" s="71" customFormat="1" ht="129" customHeight="1" thickBot="1" x14ac:dyDescent="0.25">
      <c r="B2" s="65" t="s">
        <v>44</v>
      </c>
      <c r="C2" s="66" t="s">
        <v>45</v>
      </c>
      <c r="D2" s="66" t="s">
        <v>46</v>
      </c>
      <c r="E2" s="66" t="s">
        <v>353</v>
      </c>
      <c r="F2" s="66" t="s">
        <v>42</v>
      </c>
      <c r="G2" s="67" t="s">
        <v>48</v>
      </c>
      <c r="H2" s="67" t="s">
        <v>49</v>
      </c>
      <c r="I2" s="68" t="s">
        <v>50</v>
      </c>
      <c r="J2" s="68" t="s">
        <v>51</v>
      </c>
      <c r="K2" s="69" t="s">
        <v>14</v>
      </c>
      <c r="L2" s="70" t="s">
        <v>52</v>
      </c>
    </row>
    <row r="3" spans="2:12" ht="16.5" thickBot="1" x14ac:dyDescent="0.3">
      <c r="B3" s="72" t="s">
        <v>354</v>
      </c>
      <c r="C3" s="72"/>
      <c r="D3" s="72"/>
      <c r="E3" s="72"/>
      <c r="F3" s="72"/>
      <c r="G3" s="73" t="s">
        <v>54</v>
      </c>
      <c r="H3" s="74">
        <f>COUNTA(D4:D501)</f>
        <v>18</v>
      </c>
      <c r="I3" s="75"/>
      <c r="J3" s="76" t="s">
        <v>55</v>
      </c>
      <c r="K3" s="77">
        <f t="shared" ref="K3" si="0">SUM(K4:K501)</f>
        <v>0</v>
      </c>
      <c r="L3" s="72"/>
    </row>
    <row r="4" spans="2:12" ht="30" customHeight="1" x14ac:dyDescent="0.25">
      <c r="B4" s="78" t="s">
        <v>355</v>
      </c>
      <c r="C4" s="79">
        <v>1</v>
      </c>
      <c r="D4" s="80" t="s">
        <v>10</v>
      </c>
      <c r="E4" s="89" t="s">
        <v>356</v>
      </c>
      <c r="F4" s="223" t="s">
        <v>43</v>
      </c>
      <c r="G4" s="224" t="s">
        <v>57</v>
      </c>
      <c r="H4" s="225">
        <f>COUNTIF(F4:F501,"Select from Drop Down")</f>
        <v>18</v>
      </c>
      <c r="I4" s="226">
        <f>VLOOKUP($D4,SpecData,2,FALSE)</f>
        <v>2</v>
      </c>
      <c r="J4" s="227">
        <f>VLOOKUP($F4,AvailabilityData,2,FALSE)</f>
        <v>0</v>
      </c>
      <c r="K4" s="228">
        <f>I4*J4</f>
        <v>0</v>
      </c>
      <c r="L4" s="20"/>
    </row>
    <row r="5" spans="2:12" ht="30" customHeight="1" x14ac:dyDescent="0.25">
      <c r="B5" s="78" t="str">
        <f>IF(C5="","",$B$4)</f>
        <v>Ngen</v>
      </c>
      <c r="C5" s="79">
        <v>2</v>
      </c>
      <c r="D5" s="80" t="s">
        <v>10</v>
      </c>
      <c r="E5" s="89" t="s">
        <v>357</v>
      </c>
      <c r="F5" s="223" t="s">
        <v>43</v>
      </c>
      <c r="G5" s="224" t="s">
        <v>59</v>
      </c>
      <c r="H5" s="225">
        <f>COUNTIF(F4:F501,"Function Available")</f>
        <v>0</v>
      </c>
      <c r="I5" s="226">
        <f>VLOOKUP($D5,SpecData,2,FALSE)</f>
        <v>2</v>
      </c>
      <c r="J5" s="227">
        <f>VLOOKUP($F5,AvailabilityData,2,FALSE)</f>
        <v>0</v>
      </c>
      <c r="K5" s="228">
        <f t="shared" ref="K5:K20" si="1">I5*J5</f>
        <v>0</v>
      </c>
      <c r="L5" s="20"/>
    </row>
    <row r="6" spans="2:12" ht="30" customHeight="1" x14ac:dyDescent="0.25">
      <c r="B6" s="78" t="str">
        <f t="shared" ref="B6:B21" si="2">IF(C6="","",$B$4)</f>
        <v>Ngen</v>
      </c>
      <c r="C6" s="79">
        <v>3</v>
      </c>
      <c r="D6" s="80" t="s">
        <v>10</v>
      </c>
      <c r="E6" s="89" t="s">
        <v>358</v>
      </c>
      <c r="F6" s="223" t="s">
        <v>43</v>
      </c>
      <c r="G6" s="224" t="s">
        <v>61</v>
      </c>
      <c r="H6" s="231">
        <f>COUNTIF(F4:F501,"Function Not Available")</f>
        <v>0</v>
      </c>
      <c r="I6" s="226">
        <f t="shared" ref="I6:I12" si="3">VLOOKUP($D6,SpecData,2,FALSE)</f>
        <v>2</v>
      </c>
      <c r="J6" s="227">
        <f t="shared" ref="J6:J12" si="4">VLOOKUP($F6,AvailabilityData,2,FALSE)</f>
        <v>0</v>
      </c>
      <c r="K6" s="228">
        <f t="shared" si="1"/>
        <v>0</v>
      </c>
      <c r="L6" s="20"/>
    </row>
    <row r="7" spans="2:12" ht="30" customHeight="1" x14ac:dyDescent="0.25">
      <c r="B7" s="78" t="str">
        <f t="shared" si="2"/>
        <v>Ngen</v>
      </c>
      <c r="C7" s="79">
        <f>IF(ISTEXT(D7),MAX($C$6:$C6)+1,"")</f>
        <v>4</v>
      </c>
      <c r="D7" s="80" t="s">
        <v>10</v>
      </c>
      <c r="E7" s="89" t="s">
        <v>359</v>
      </c>
      <c r="F7" s="223" t="s">
        <v>43</v>
      </c>
      <c r="G7" s="224" t="s">
        <v>63</v>
      </c>
      <c r="H7" s="231">
        <f>COUNTIF(F4:F501,"Exception")</f>
        <v>0</v>
      </c>
      <c r="I7" s="226">
        <f t="shared" si="3"/>
        <v>2</v>
      </c>
      <c r="J7" s="227">
        <f t="shared" si="4"/>
        <v>0</v>
      </c>
      <c r="K7" s="228">
        <f t="shared" si="1"/>
        <v>0</v>
      </c>
      <c r="L7" s="20"/>
    </row>
    <row r="8" spans="2:12" ht="30" customHeight="1" x14ac:dyDescent="0.25">
      <c r="B8" s="78" t="str">
        <f t="shared" si="2"/>
        <v>Ngen</v>
      </c>
      <c r="C8" s="79">
        <f>IF(ISTEXT(D8),MAX($C$6:$C7)+1,"")</f>
        <v>5</v>
      </c>
      <c r="D8" s="80" t="s">
        <v>10</v>
      </c>
      <c r="E8" s="89" t="s">
        <v>360</v>
      </c>
      <c r="F8" s="223" t="s">
        <v>43</v>
      </c>
      <c r="G8" s="224" t="s">
        <v>65</v>
      </c>
      <c r="H8" s="232">
        <f>COUNTIFS(D:D,"=Crucial",F:F,"=Select From Drop Down")</f>
        <v>0</v>
      </c>
      <c r="I8" s="226">
        <f t="shared" si="3"/>
        <v>2</v>
      </c>
      <c r="J8" s="227">
        <f t="shared" si="4"/>
        <v>0</v>
      </c>
      <c r="K8" s="228">
        <f t="shared" si="1"/>
        <v>0</v>
      </c>
      <c r="L8" s="20"/>
    </row>
    <row r="9" spans="2:12" ht="30" customHeight="1" x14ac:dyDescent="0.25">
      <c r="B9" s="78" t="str">
        <f t="shared" si="2"/>
        <v>Ngen</v>
      </c>
      <c r="C9" s="79">
        <f>IF(ISTEXT(D9),MAX($C$6:$C8)+1,"")</f>
        <v>6</v>
      </c>
      <c r="D9" s="80" t="s">
        <v>10</v>
      </c>
      <c r="E9" s="89" t="s">
        <v>361</v>
      </c>
      <c r="F9" s="223" t="s">
        <v>43</v>
      </c>
      <c r="G9" s="224" t="s">
        <v>67</v>
      </c>
      <c r="H9" s="232">
        <f>COUNTIFS(D:D,"=Crucial",F:F,"=Function Available")</f>
        <v>0</v>
      </c>
      <c r="I9" s="226">
        <f t="shared" si="3"/>
        <v>2</v>
      </c>
      <c r="J9" s="227">
        <f t="shared" si="4"/>
        <v>0</v>
      </c>
      <c r="K9" s="228">
        <f t="shared" si="1"/>
        <v>0</v>
      </c>
      <c r="L9" s="20"/>
    </row>
    <row r="10" spans="2:12" ht="41.65" customHeight="1" x14ac:dyDescent="0.25">
      <c r="B10" s="78" t="str">
        <f t="shared" si="2"/>
        <v>Ngen</v>
      </c>
      <c r="C10" s="79">
        <f>IF(ISTEXT(D10),MAX($C$6:$C9)+1,"")</f>
        <v>7</v>
      </c>
      <c r="D10" s="80" t="s">
        <v>10</v>
      </c>
      <c r="E10" s="89" t="s">
        <v>362</v>
      </c>
      <c r="F10" s="223" t="s">
        <v>43</v>
      </c>
      <c r="G10" s="224" t="s">
        <v>69</v>
      </c>
      <c r="H10" s="232">
        <f>COUNTIFS(D:D,"=Crucial",F:F,"=Function Not Available")</f>
        <v>0</v>
      </c>
      <c r="I10" s="226">
        <f t="shared" si="3"/>
        <v>2</v>
      </c>
      <c r="J10" s="227">
        <f t="shared" si="4"/>
        <v>0</v>
      </c>
      <c r="K10" s="228">
        <f t="shared" si="1"/>
        <v>0</v>
      </c>
      <c r="L10" s="20"/>
    </row>
    <row r="11" spans="2:12" ht="30" customHeight="1" x14ac:dyDescent="0.25">
      <c r="B11" s="78" t="str">
        <f t="shared" si="2"/>
        <v>Ngen</v>
      </c>
      <c r="C11" s="79">
        <f>IF(ISTEXT(D11),MAX($C$6:$C10)+1,"")</f>
        <v>8</v>
      </c>
      <c r="D11" s="80" t="s">
        <v>10</v>
      </c>
      <c r="E11" s="89" t="s">
        <v>363</v>
      </c>
      <c r="F11" s="223" t="s">
        <v>43</v>
      </c>
      <c r="G11" s="241" t="s">
        <v>70</v>
      </c>
      <c r="H11" s="251">
        <f>COUNTIFS(D:D,"=Crucial",F:F,"=Exception")</f>
        <v>0</v>
      </c>
      <c r="I11" s="252">
        <f t="shared" si="3"/>
        <v>2</v>
      </c>
      <c r="J11" s="253">
        <f t="shared" si="4"/>
        <v>0</v>
      </c>
      <c r="K11" s="228">
        <f t="shared" si="1"/>
        <v>0</v>
      </c>
      <c r="L11" s="22"/>
    </row>
    <row r="12" spans="2:12" ht="30" customHeight="1" x14ac:dyDescent="0.25">
      <c r="B12" s="78" t="str">
        <f t="shared" si="2"/>
        <v>Ngen</v>
      </c>
      <c r="C12" s="79">
        <f>IF(ISTEXT(D12),MAX($C$6:$C11)+1,"")</f>
        <v>9</v>
      </c>
      <c r="D12" s="80" t="s">
        <v>10</v>
      </c>
      <c r="E12" s="89" t="s">
        <v>364</v>
      </c>
      <c r="F12" s="223" t="s">
        <v>43</v>
      </c>
      <c r="G12" s="224" t="s">
        <v>72</v>
      </c>
      <c r="H12" s="232">
        <f>COUNTIFS(D:D,"=Important",F:F,"=Select From Drop Down")</f>
        <v>18</v>
      </c>
      <c r="I12" s="235">
        <f t="shared" si="3"/>
        <v>2</v>
      </c>
      <c r="J12" s="236">
        <f t="shared" si="4"/>
        <v>0</v>
      </c>
      <c r="K12" s="228">
        <f t="shared" si="1"/>
        <v>0</v>
      </c>
      <c r="L12" s="20"/>
    </row>
    <row r="13" spans="2:12" ht="30" customHeight="1" x14ac:dyDescent="0.25">
      <c r="B13" s="78" t="str">
        <f t="shared" si="2"/>
        <v>Ngen</v>
      </c>
      <c r="C13" s="79">
        <f>IF(ISTEXT(D13),MAX($C$6:$C12)+1,"")</f>
        <v>10</v>
      </c>
      <c r="D13" s="80" t="s">
        <v>10</v>
      </c>
      <c r="E13" s="89" t="s">
        <v>365</v>
      </c>
      <c r="F13" s="223" t="s">
        <v>43</v>
      </c>
      <c r="G13" s="224" t="s">
        <v>74</v>
      </c>
      <c r="H13" s="232">
        <f>COUNTIFS(D:D,"=Important",F:F,"=Function Available")</f>
        <v>0</v>
      </c>
      <c r="I13" s="235">
        <f t="shared" ref="I13:I21" si="5">VLOOKUP($D13,SpecData,2,FALSE)</f>
        <v>2</v>
      </c>
      <c r="J13" s="236">
        <f t="shared" ref="J13:J21" si="6">VLOOKUP($F13,AvailabilityData,2,FALSE)</f>
        <v>0</v>
      </c>
      <c r="K13" s="228">
        <f t="shared" si="1"/>
        <v>0</v>
      </c>
      <c r="L13" s="20"/>
    </row>
    <row r="14" spans="2:12" ht="30" customHeight="1" x14ac:dyDescent="0.25">
      <c r="B14" s="78" t="str">
        <f t="shared" si="2"/>
        <v>Ngen</v>
      </c>
      <c r="C14" s="79">
        <f>IF(ISTEXT(D14),MAX($C$6:$C13)+1,"")</f>
        <v>11</v>
      </c>
      <c r="D14" s="80" t="s">
        <v>10</v>
      </c>
      <c r="E14" s="89" t="s">
        <v>366</v>
      </c>
      <c r="F14" s="223" t="s">
        <v>43</v>
      </c>
      <c r="G14" s="224" t="s">
        <v>76</v>
      </c>
      <c r="H14" s="232">
        <f>COUNTIFS(D:D,"=Important",F:F,"=Function Not Available")</f>
        <v>0</v>
      </c>
      <c r="I14" s="235">
        <f t="shared" si="5"/>
        <v>2</v>
      </c>
      <c r="J14" s="236">
        <f t="shared" si="6"/>
        <v>0</v>
      </c>
      <c r="K14" s="228">
        <f t="shared" si="1"/>
        <v>0</v>
      </c>
      <c r="L14" s="20"/>
    </row>
    <row r="15" spans="2:12" ht="30" customHeight="1" x14ac:dyDescent="0.25">
      <c r="B15" s="78" t="str">
        <f t="shared" si="2"/>
        <v>Ngen</v>
      </c>
      <c r="C15" s="79">
        <f>IF(ISTEXT(D15),MAX($C$6:$C14)+1,"")</f>
        <v>12</v>
      </c>
      <c r="D15" s="80" t="s">
        <v>10</v>
      </c>
      <c r="E15" s="89" t="s">
        <v>367</v>
      </c>
      <c r="F15" s="223" t="s">
        <v>43</v>
      </c>
      <c r="G15" s="224" t="s">
        <v>77</v>
      </c>
      <c r="H15" s="232">
        <f>COUNTIFS(D:D,"=Important",F:F,"=Exception")</f>
        <v>0</v>
      </c>
      <c r="I15" s="235">
        <f t="shared" si="5"/>
        <v>2</v>
      </c>
      <c r="J15" s="236">
        <f t="shared" si="6"/>
        <v>0</v>
      </c>
      <c r="K15" s="228">
        <f t="shared" si="1"/>
        <v>0</v>
      </c>
      <c r="L15" s="20"/>
    </row>
    <row r="16" spans="2:12" ht="30" customHeight="1" x14ac:dyDescent="0.25">
      <c r="B16" s="78" t="str">
        <f t="shared" si="2"/>
        <v>Ngen</v>
      </c>
      <c r="C16" s="79">
        <f>IF(ISTEXT(D16),MAX($C$6:$C15)+1,"")</f>
        <v>13</v>
      </c>
      <c r="D16" s="80" t="s">
        <v>10</v>
      </c>
      <c r="E16" s="89" t="s">
        <v>368</v>
      </c>
      <c r="F16" s="223" t="s">
        <v>43</v>
      </c>
      <c r="G16" s="224" t="s">
        <v>78</v>
      </c>
      <c r="H16" s="232">
        <f>COUNTIFS(D:D,"=Minimal",F:F,"=Select From Drop Down")</f>
        <v>0</v>
      </c>
      <c r="I16" s="235">
        <f t="shared" si="5"/>
        <v>2</v>
      </c>
      <c r="J16" s="236">
        <f t="shared" si="6"/>
        <v>0</v>
      </c>
      <c r="K16" s="228">
        <f t="shared" si="1"/>
        <v>0</v>
      </c>
      <c r="L16" s="20"/>
    </row>
    <row r="17" spans="2:12" ht="40.5" customHeight="1" x14ac:dyDescent="0.25">
      <c r="B17" s="78" t="str">
        <f t="shared" si="2"/>
        <v>Ngen</v>
      </c>
      <c r="C17" s="79">
        <f>IF(ISTEXT(D17),MAX($C$6:$C16)+1,"")</f>
        <v>14</v>
      </c>
      <c r="D17" s="80" t="s">
        <v>10</v>
      </c>
      <c r="E17" s="89" t="s">
        <v>369</v>
      </c>
      <c r="F17" s="223" t="s">
        <v>43</v>
      </c>
      <c r="G17" s="224" t="s">
        <v>80</v>
      </c>
      <c r="H17" s="232">
        <f>COUNTIFS(D:D,"=Minimal",F:F,"=Function Available")</f>
        <v>0</v>
      </c>
      <c r="I17" s="235">
        <f t="shared" si="5"/>
        <v>2</v>
      </c>
      <c r="J17" s="236">
        <f t="shared" si="6"/>
        <v>0</v>
      </c>
      <c r="K17" s="228">
        <f t="shared" si="1"/>
        <v>0</v>
      </c>
      <c r="L17" s="20"/>
    </row>
    <row r="18" spans="2:12" ht="30" customHeight="1" x14ac:dyDescent="0.25">
      <c r="B18" s="78" t="str">
        <f t="shared" si="2"/>
        <v>Ngen</v>
      </c>
      <c r="C18" s="79">
        <f>IF(ISTEXT(D18),MAX($C$6:$C17)+1,"")</f>
        <v>15</v>
      </c>
      <c r="D18" s="80" t="s">
        <v>10</v>
      </c>
      <c r="E18" s="89" t="s">
        <v>370</v>
      </c>
      <c r="F18" s="223" t="s">
        <v>43</v>
      </c>
      <c r="G18" s="224" t="s">
        <v>82</v>
      </c>
      <c r="H18" s="232">
        <f>COUNTIFS(D:D,"=Minimal",F:F,"=Function Not Available")</f>
        <v>0</v>
      </c>
      <c r="I18" s="235">
        <f t="shared" si="5"/>
        <v>2</v>
      </c>
      <c r="J18" s="236">
        <f t="shared" si="6"/>
        <v>0</v>
      </c>
      <c r="K18" s="228">
        <f t="shared" si="1"/>
        <v>0</v>
      </c>
      <c r="L18" s="20"/>
    </row>
    <row r="19" spans="2:12" ht="30" customHeight="1" x14ac:dyDescent="0.25">
      <c r="B19" s="78" t="str">
        <f t="shared" si="2"/>
        <v>Ngen</v>
      </c>
      <c r="C19" s="79">
        <f>IF(ISTEXT(D19),MAX($C$6:$C18)+1,"")</f>
        <v>16</v>
      </c>
      <c r="D19" s="80" t="s">
        <v>10</v>
      </c>
      <c r="E19" s="89" t="s">
        <v>371</v>
      </c>
      <c r="F19" s="223" t="s">
        <v>43</v>
      </c>
      <c r="G19" s="224" t="s">
        <v>83</v>
      </c>
      <c r="H19" s="232">
        <f>COUNTIFS(D:D,"=Minimal",F:F,"=Exception")</f>
        <v>0</v>
      </c>
      <c r="I19" s="235">
        <f t="shared" si="5"/>
        <v>2</v>
      </c>
      <c r="J19" s="236">
        <f t="shared" si="6"/>
        <v>0</v>
      </c>
      <c r="K19" s="228">
        <f t="shared" si="1"/>
        <v>0</v>
      </c>
      <c r="L19" s="20"/>
    </row>
    <row r="20" spans="2:12" ht="30" customHeight="1" x14ac:dyDescent="0.25">
      <c r="B20" s="78" t="str">
        <f t="shared" si="2"/>
        <v>Ngen</v>
      </c>
      <c r="C20" s="79">
        <f>IF(ISTEXT(D20),MAX($C$6:$C19)+1,"")</f>
        <v>17</v>
      </c>
      <c r="D20" s="80" t="s">
        <v>10</v>
      </c>
      <c r="E20" s="89" t="s">
        <v>372</v>
      </c>
      <c r="F20" s="223" t="s">
        <v>43</v>
      </c>
      <c r="G20" s="224"/>
      <c r="H20" s="231"/>
      <c r="I20" s="235">
        <f t="shared" si="5"/>
        <v>2</v>
      </c>
      <c r="J20" s="236">
        <f t="shared" si="6"/>
        <v>0</v>
      </c>
      <c r="K20" s="228">
        <f t="shared" si="1"/>
        <v>0</v>
      </c>
      <c r="L20" s="20"/>
    </row>
    <row r="21" spans="2:12" ht="30" customHeight="1" x14ac:dyDescent="0.25">
      <c r="B21" s="152" t="str">
        <f t="shared" si="2"/>
        <v>Ngen</v>
      </c>
      <c r="C21" s="153">
        <f>IF(ISTEXT(D21),MAX($C$6:$C20)+1,"")</f>
        <v>18</v>
      </c>
      <c r="D21" s="80" t="s">
        <v>10</v>
      </c>
      <c r="E21" s="154" t="s">
        <v>373</v>
      </c>
      <c r="F21" s="223" t="s">
        <v>43</v>
      </c>
      <c r="G21" s="241"/>
      <c r="H21" s="242"/>
      <c r="I21" s="238">
        <f t="shared" si="5"/>
        <v>2</v>
      </c>
      <c r="J21" s="239">
        <f t="shared" si="6"/>
        <v>0</v>
      </c>
      <c r="K21" s="228">
        <f>I21*J21</f>
        <v>0</v>
      </c>
      <c r="L21" s="21"/>
    </row>
    <row r="22" spans="2:12" ht="10.5" customHeight="1" x14ac:dyDescent="0.25"/>
  </sheetData>
  <sheetProtection algorithmName="SHA-512" hashValue="9nkT5DiGvsiIJcOCCHfRx4hSF829Fx+2IxwPMNMrS227O4ttCRUb7fA5GojNolNJJ6nxb7C9V8cPZ5ayAPKILQ==" saltValue="PN/odRI+I6Yh2BtFVhjkSQ==" spinCount="100000" sheet="1" selectLockedCells="1"/>
  <conditionalFormatting sqref="D4:D21">
    <cfRule type="cellIs" dxfId="68" priority="1" operator="equal">
      <formula>"Important"</formula>
    </cfRule>
    <cfRule type="cellIs" dxfId="67" priority="2" operator="equal">
      <formula>"Crucial"</formula>
    </cfRule>
    <cfRule type="cellIs" dxfId="66" priority="3" operator="equal">
      <formula>"N/A"</formula>
    </cfRule>
  </conditionalFormatting>
  <conditionalFormatting sqref="F4:F21">
    <cfRule type="cellIs" dxfId="65" priority="13" operator="equal">
      <formula>"Function Not Available"</formula>
    </cfRule>
    <cfRule type="cellIs" dxfId="64" priority="14" operator="equal">
      <formula>"Function Available"</formula>
    </cfRule>
    <cfRule type="cellIs" dxfId="63" priority="15" operator="equal">
      <formula>"Exception"</formula>
    </cfRule>
  </conditionalFormatting>
  <dataValidations count="3">
    <dataValidation type="list" allowBlank="1" showInputMessage="1" showErrorMessage="1" sqref="F4:F5" xr:uid="{00000000-0002-0000-1700-000000000000}">
      <formula1>AvailabilityType</formula1>
    </dataValidation>
    <dataValidation type="list" allowBlank="1" showInputMessage="1" showErrorMessage="1" errorTitle="Invalid specification type" error="Please enter a Specification type from the drop-down list." sqref="F6:F21" xr:uid="{00000000-0002-0000-1700-000002000000}">
      <formula1>AvailabilityType</formula1>
    </dataValidation>
    <dataValidation type="list" allowBlank="1" showInputMessage="1" showErrorMessage="1" sqref="D4:D21" xr:uid="{DF6D3F0D-0F46-4C55-958E-57129AFCF465}">
      <formula1>SpecType</formula1>
    </dataValidation>
  </dataValidations>
  <pageMargins left="0.7" right="0.7" top="0.75" bottom="0.75" header="0.3" footer="0.3"/>
  <pageSetup scale="47" fitToHeight="0" orientation="portrait" r:id="rId1"/>
  <headerFooter>
    <oddHeader>&amp;CGCCDA
&amp;F&amp;R&amp;A</oddHeader>
    <oddFooter>&amp;LTSSI Consulting LLC, March 2026&amp;CPage &amp;P of &amp;N</oddFooter>
  </headerFooter>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FFCC00"/>
    <pageSetUpPr fitToPage="1"/>
  </sheetPr>
  <dimension ref="A1:M20"/>
  <sheetViews>
    <sheetView showGridLines="0" zoomScale="80" zoomScaleNormal="80" workbookViewId="0">
      <selection activeCell="F4" sqref="F4"/>
    </sheetView>
  </sheetViews>
  <sheetFormatPr defaultColWidth="0" defaultRowHeight="15" zeroHeight="1" x14ac:dyDescent="0.25"/>
  <cols>
    <col min="1" max="1" width="1.28515625" customWidth="1"/>
    <col min="2" max="2" width="11.7109375" customWidth="1"/>
    <col min="3" max="3" width="11.42578125" customWidth="1"/>
    <col min="4" max="4" width="23.28515625" customWidth="1"/>
    <col min="5" max="5" width="65.7109375" style="63" customWidth="1"/>
    <col min="6" max="6" width="28.7109375" customWidth="1"/>
    <col min="7" max="7" width="15.42578125" style="64" hidden="1" customWidth="1"/>
    <col min="8" max="11" width="12.7109375" hidden="1" customWidth="1"/>
    <col min="12" max="12" width="49.42578125" customWidth="1"/>
    <col min="13" max="13" width="8.7109375" customWidth="1"/>
    <col min="14" max="16384" width="8.7109375" hidden="1"/>
  </cols>
  <sheetData>
    <row r="1" spans="2:12" ht="6.6" customHeight="1" thickBot="1" x14ac:dyDescent="0.3"/>
    <row r="2" spans="2:12" ht="129" customHeight="1" thickBot="1" x14ac:dyDescent="0.3">
      <c r="B2" s="95" t="s">
        <v>44</v>
      </c>
      <c r="C2" s="95" t="s">
        <v>45</v>
      </c>
      <c r="D2" s="95" t="s">
        <v>46</v>
      </c>
      <c r="E2" s="95" t="s">
        <v>374</v>
      </c>
      <c r="F2" s="95" t="s">
        <v>42</v>
      </c>
      <c r="G2" s="96" t="s">
        <v>48</v>
      </c>
      <c r="H2" s="96" t="s">
        <v>49</v>
      </c>
      <c r="I2" s="97" t="s">
        <v>50</v>
      </c>
      <c r="J2" s="97" t="s">
        <v>51</v>
      </c>
      <c r="K2" s="98" t="s">
        <v>14</v>
      </c>
      <c r="L2" s="99" t="s">
        <v>52</v>
      </c>
    </row>
    <row r="3" spans="2:12" ht="16.5" thickBot="1" x14ac:dyDescent="0.3">
      <c r="B3" s="100" t="s">
        <v>375</v>
      </c>
      <c r="C3" s="72"/>
      <c r="D3" s="72"/>
      <c r="E3" s="72"/>
      <c r="F3" s="72"/>
      <c r="G3" s="73" t="s">
        <v>54</v>
      </c>
      <c r="H3" s="74">
        <f>COUNTA(D4:D478)</f>
        <v>12</v>
      </c>
      <c r="I3" s="75"/>
      <c r="J3" s="76" t="s">
        <v>55</v>
      </c>
      <c r="K3" s="77">
        <f t="shared" ref="K3" si="0">SUM(K4:K478)</f>
        <v>0</v>
      </c>
      <c r="L3" s="101"/>
    </row>
    <row r="4" spans="2:12" ht="42.75" x14ac:dyDescent="0.25">
      <c r="B4" s="102" t="s">
        <v>376</v>
      </c>
      <c r="C4" s="79">
        <v>1</v>
      </c>
      <c r="D4" s="80" t="s">
        <v>10</v>
      </c>
      <c r="E4" s="140" t="s">
        <v>377</v>
      </c>
      <c r="F4" s="223" t="s">
        <v>43</v>
      </c>
      <c r="G4" s="224" t="s">
        <v>57</v>
      </c>
      <c r="H4" s="225">
        <f>COUNTIF(F4:F478,"Select from Drop Down")</f>
        <v>12</v>
      </c>
      <c r="I4" s="226">
        <f>VLOOKUP($D4,SpecData,2,FALSE)</f>
        <v>2</v>
      </c>
      <c r="J4" s="227">
        <f>VLOOKUP($F4,AvailabilityData,2,FALSE)</f>
        <v>0</v>
      </c>
      <c r="K4" s="228">
        <f>I4*J4</f>
        <v>0</v>
      </c>
      <c r="L4" s="26"/>
    </row>
    <row r="5" spans="2:12" ht="30" customHeight="1" x14ac:dyDescent="0.25">
      <c r="B5" s="102" t="str">
        <f>IF(C5="","",$B$4)</f>
        <v>IMC</v>
      </c>
      <c r="C5" s="79">
        <f>IF(ISTEXT(D5),MAX($C$4:$C4)+1,"")</f>
        <v>2</v>
      </c>
      <c r="D5" s="80" t="s">
        <v>10</v>
      </c>
      <c r="E5" s="138" t="s">
        <v>378</v>
      </c>
      <c r="F5" s="223" t="s">
        <v>43</v>
      </c>
      <c r="G5" s="224" t="s">
        <v>59</v>
      </c>
      <c r="H5" s="225">
        <f>COUNTIF(F4:F478,"Function Available")</f>
        <v>0</v>
      </c>
      <c r="I5" s="226">
        <f>VLOOKUP($D5,SpecData,2,FALSE)</f>
        <v>2</v>
      </c>
      <c r="J5" s="227">
        <f>VLOOKUP($F5,AvailabilityData,2,FALSE)</f>
        <v>0</v>
      </c>
      <c r="K5" s="228">
        <f t="shared" ref="K5:K15" si="1">I5*J5</f>
        <v>0</v>
      </c>
      <c r="L5" s="26"/>
    </row>
    <row r="6" spans="2:12" ht="30" customHeight="1" x14ac:dyDescent="0.25">
      <c r="B6" s="102" t="str">
        <f>IF(C6="","",$B$4)</f>
        <v>IMC</v>
      </c>
      <c r="C6" s="79">
        <f>IF(ISTEXT(D6),MAX($C$4:$C5)+1,"")</f>
        <v>3</v>
      </c>
      <c r="D6" s="80" t="s">
        <v>10</v>
      </c>
      <c r="E6" s="138" t="s">
        <v>379</v>
      </c>
      <c r="F6" s="223" t="s">
        <v>43</v>
      </c>
      <c r="G6" s="224" t="s">
        <v>61</v>
      </c>
      <c r="H6" s="231">
        <f>COUNTIF(F4:F478,"Function Not Available")</f>
        <v>0</v>
      </c>
      <c r="I6" s="226">
        <f t="shared" ref="I6:I15" si="2">VLOOKUP($D6,SpecData,2,FALSE)</f>
        <v>2</v>
      </c>
      <c r="J6" s="227">
        <f t="shared" ref="J6:J15" si="3">VLOOKUP($F6,AvailabilityData,2,FALSE)</f>
        <v>0</v>
      </c>
      <c r="K6" s="228">
        <f t="shared" si="1"/>
        <v>0</v>
      </c>
      <c r="L6" s="26"/>
    </row>
    <row r="7" spans="2:12" ht="30" customHeight="1" x14ac:dyDescent="0.25">
      <c r="B7" s="102" t="str">
        <f t="shared" ref="B7:B15" si="4">IF(C7="","",$B$4)</f>
        <v>IMC</v>
      </c>
      <c r="C7" s="79">
        <f>IF(ISTEXT(D7),MAX($C$4:$C6)+1,"")</f>
        <v>4</v>
      </c>
      <c r="D7" s="80" t="s">
        <v>10</v>
      </c>
      <c r="E7" s="138" t="s">
        <v>380</v>
      </c>
      <c r="F7" s="223" t="s">
        <v>43</v>
      </c>
      <c r="G7" s="224" t="s">
        <v>63</v>
      </c>
      <c r="H7" s="231">
        <f>COUNTIF(F4:F478,"Exception")</f>
        <v>0</v>
      </c>
      <c r="I7" s="226">
        <f t="shared" si="2"/>
        <v>2</v>
      </c>
      <c r="J7" s="227">
        <f t="shared" si="3"/>
        <v>0</v>
      </c>
      <c r="K7" s="228">
        <f t="shared" si="1"/>
        <v>0</v>
      </c>
      <c r="L7" s="26"/>
    </row>
    <row r="8" spans="2:12" ht="30" customHeight="1" x14ac:dyDescent="0.25">
      <c r="B8" s="102" t="str">
        <f t="shared" si="4"/>
        <v>IMC</v>
      </c>
      <c r="C8" s="79">
        <f>IF(ISTEXT(D8),MAX($C$4:$C7)+1,"")</f>
        <v>5</v>
      </c>
      <c r="D8" s="80" t="s">
        <v>11</v>
      </c>
      <c r="E8" s="138" t="s">
        <v>381</v>
      </c>
      <c r="F8" s="223" t="s">
        <v>43</v>
      </c>
      <c r="G8" s="224" t="s">
        <v>65</v>
      </c>
      <c r="H8" s="232">
        <f>COUNTIFS(D:D,"=Crucial",F:F,"=Select From Drop Down")</f>
        <v>1</v>
      </c>
      <c r="I8" s="226">
        <f t="shared" si="2"/>
        <v>1</v>
      </c>
      <c r="J8" s="227">
        <f t="shared" si="3"/>
        <v>0</v>
      </c>
      <c r="K8" s="228">
        <f t="shared" si="1"/>
        <v>0</v>
      </c>
      <c r="L8" s="26"/>
    </row>
    <row r="9" spans="2:12" ht="30" customHeight="1" x14ac:dyDescent="0.25">
      <c r="B9" s="102" t="str">
        <f t="shared" si="4"/>
        <v>IMC</v>
      </c>
      <c r="C9" s="79">
        <f>IF(ISTEXT(D9),MAX($C$4:$C8)+1,"")</f>
        <v>6</v>
      </c>
      <c r="D9" s="80" t="s">
        <v>11</v>
      </c>
      <c r="E9" s="138" t="s">
        <v>382</v>
      </c>
      <c r="F9" s="223" t="s">
        <v>43</v>
      </c>
      <c r="G9" s="224" t="s">
        <v>67</v>
      </c>
      <c r="H9" s="232">
        <f>COUNTIFS(D:D,"=Crucial",F:F,"=Function Available")</f>
        <v>0</v>
      </c>
      <c r="I9" s="226">
        <f t="shared" si="2"/>
        <v>1</v>
      </c>
      <c r="J9" s="227">
        <f t="shared" si="3"/>
        <v>0</v>
      </c>
      <c r="K9" s="228">
        <f t="shared" si="1"/>
        <v>0</v>
      </c>
      <c r="L9" s="26"/>
    </row>
    <row r="10" spans="2:12" ht="30" customHeight="1" x14ac:dyDescent="0.25">
      <c r="B10" s="102" t="str">
        <f t="shared" si="4"/>
        <v>IMC</v>
      </c>
      <c r="C10" s="79">
        <f>IF(ISTEXT(D10),MAX($C$4:$C9)+1,"")</f>
        <v>7</v>
      </c>
      <c r="D10" s="80" t="s">
        <v>10</v>
      </c>
      <c r="E10" s="138" t="s">
        <v>383</v>
      </c>
      <c r="F10" s="223" t="s">
        <v>43</v>
      </c>
      <c r="G10" s="224" t="s">
        <v>69</v>
      </c>
      <c r="H10" s="232">
        <f>COUNTIFS(D:D,"=Crucial",F:F,"=Function Not Available")</f>
        <v>0</v>
      </c>
      <c r="I10" s="226">
        <f t="shared" si="2"/>
        <v>2</v>
      </c>
      <c r="J10" s="227">
        <f t="shared" si="3"/>
        <v>0</v>
      </c>
      <c r="K10" s="228">
        <f t="shared" si="1"/>
        <v>0</v>
      </c>
      <c r="L10" s="26"/>
    </row>
    <row r="11" spans="2:12" ht="30" customHeight="1" x14ac:dyDescent="0.25">
      <c r="B11" s="102" t="str">
        <f t="shared" si="4"/>
        <v>IMC</v>
      </c>
      <c r="C11" s="79">
        <f>IF(ISTEXT(D11),MAX($C$4:$C10)+1,"")</f>
        <v>8</v>
      </c>
      <c r="D11" s="80" t="s">
        <v>10</v>
      </c>
      <c r="E11" s="138" t="s">
        <v>384</v>
      </c>
      <c r="F11" s="223" t="s">
        <v>43</v>
      </c>
      <c r="G11" s="224" t="s">
        <v>70</v>
      </c>
      <c r="H11" s="232">
        <f>COUNTIFS(D:D,"=Crucial",F:F,"=Exception")</f>
        <v>0</v>
      </c>
      <c r="I11" s="226">
        <f t="shared" si="2"/>
        <v>2</v>
      </c>
      <c r="J11" s="227">
        <f t="shared" si="3"/>
        <v>0</v>
      </c>
      <c r="K11" s="228">
        <f t="shared" si="1"/>
        <v>0</v>
      </c>
      <c r="L11" s="26"/>
    </row>
    <row r="12" spans="2:12" ht="30" customHeight="1" x14ac:dyDescent="0.25">
      <c r="B12" s="102" t="str">
        <f t="shared" si="4"/>
        <v>IMC</v>
      </c>
      <c r="C12" s="79">
        <f>IF(ISTEXT(D12),MAX($C$4:$C11)+1,"")</f>
        <v>9</v>
      </c>
      <c r="D12" s="80" t="s">
        <v>10</v>
      </c>
      <c r="E12" s="203" t="s">
        <v>385</v>
      </c>
      <c r="F12" s="223" t="s">
        <v>43</v>
      </c>
      <c r="G12" s="233" t="s">
        <v>72</v>
      </c>
      <c r="H12" s="234">
        <f>COUNTIFS(D:D,"=Important",F:F,"=Select From Drop Down")</f>
        <v>9</v>
      </c>
      <c r="I12" s="226">
        <f t="shared" si="2"/>
        <v>2</v>
      </c>
      <c r="J12" s="227">
        <f t="shared" si="3"/>
        <v>0</v>
      </c>
      <c r="K12" s="228">
        <f t="shared" si="1"/>
        <v>0</v>
      </c>
      <c r="L12" s="26"/>
    </row>
    <row r="13" spans="2:12" ht="30" customHeight="1" x14ac:dyDescent="0.25">
      <c r="B13" s="102" t="str">
        <f t="shared" si="4"/>
        <v>IMC</v>
      </c>
      <c r="C13" s="79">
        <f>IF(ISTEXT(D13),MAX($C$4:$C12)+1,"")</f>
        <v>10</v>
      </c>
      <c r="D13" s="80" t="s">
        <v>10</v>
      </c>
      <c r="E13" s="203" t="s">
        <v>386</v>
      </c>
      <c r="F13" s="223" t="s">
        <v>43</v>
      </c>
      <c r="G13" s="233" t="s">
        <v>74</v>
      </c>
      <c r="H13" s="234">
        <f>COUNTIFS(D:D,"=Important",F:F,"=Function Available")</f>
        <v>0</v>
      </c>
      <c r="I13" s="226">
        <f t="shared" si="2"/>
        <v>2</v>
      </c>
      <c r="J13" s="227">
        <f t="shared" si="3"/>
        <v>0</v>
      </c>
      <c r="K13" s="228">
        <f t="shared" si="1"/>
        <v>0</v>
      </c>
      <c r="L13" s="26"/>
    </row>
    <row r="14" spans="2:12" ht="30" customHeight="1" x14ac:dyDescent="0.25">
      <c r="B14" s="102" t="str">
        <f t="shared" si="4"/>
        <v>IMC</v>
      </c>
      <c r="C14" s="79">
        <f>IF(ISTEXT(D14),MAX($C$4:$C13)+1,"")</f>
        <v>11</v>
      </c>
      <c r="D14" s="80" t="s">
        <v>10</v>
      </c>
      <c r="E14" s="203" t="s">
        <v>387</v>
      </c>
      <c r="F14" s="223" t="s">
        <v>43</v>
      </c>
      <c r="G14" s="224" t="s">
        <v>76</v>
      </c>
      <c r="H14" s="232">
        <f>COUNTIFS(D:D,"=Important",F:F,"=Function Not Available")</f>
        <v>0</v>
      </c>
      <c r="I14" s="235">
        <f t="shared" si="2"/>
        <v>2</v>
      </c>
      <c r="J14" s="236">
        <f t="shared" si="3"/>
        <v>0</v>
      </c>
      <c r="K14" s="228">
        <f t="shared" si="1"/>
        <v>0</v>
      </c>
      <c r="L14" s="26"/>
    </row>
    <row r="15" spans="2:12" ht="43.5" thickBot="1" x14ac:dyDescent="0.3">
      <c r="B15" s="105" t="str">
        <f t="shared" si="4"/>
        <v>IMC</v>
      </c>
      <c r="C15" s="106">
        <f>IF(ISTEXT(D15),MAX($C$4:$C14)+1,"")</f>
        <v>12</v>
      </c>
      <c r="D15" s="200" t="s">
        <v>9</v>
      </c>
      <c r="E15" s="201" t="s">
        <v>388</v>
      </c>
      <c r="F15" s="284" t="s">
        <v>43</v>
      </c>
      <c r="G15" s="285" t="s">
        <v>77</v>
      </c>
      <c r="H15" s="286">
        <f>COUNTIFS(D:D,"=Important",F:F,"=Exception")</f>
        <v>0</v>
      </c>
      <c r="I15" s="287">
        <f t="shared" si="2"/>
        <v>3</v>
      </c>
      <c r="J15" s="288">
        <f t="shared" si="3"/>
        <v>0</v>
      </c>
      <c r="K15" s="249">
        <f t="shared" si="1"/>
        <v>0</v>
      </c>
      <c r="L15" s="27"/>
    </row>
    <row r="16" spans="2:12" ht="30" hidden="1" customHeight="1" x14ac:dyDescent="0.25">
      <c r="B16" s="109"/>
      <c r="C16" s="109"/>
      <c r="D16" s="110"/>
      <c r="E16" s="191"/>
      <c r="F16" s="112"/>
      <c r="G16" s="73" t="s">
        <v>78</v>
      </c>
      <c r="H16" s="113">
        <f>COUNTIFS(D:D,"=Minimal",F:F,"=Select From Drop Down")</f>
        <v>2</v>
      </c>
      <c r="I16" s="114"/>
      <c r="J16" s="115"/>
      <c r="K16" s="114"/>
      <c r="L16" s="116"/>
    </row>
    <row r="17" spans="2:12" ht="30" hidden="1" customHeight="1" x14ac:dyDescent="0.25">
      <c r="B17" s="192"/>
      <c r="C17" s="192"/>
      <c r="D17" s="193"/>
      <c r="E17" s="122"/>
      <c r="F17" s="118"/>
      <c r="G17" s="62" t="s">
        <v>80</v>
      </c>
      <c r="H17" s="119">
        <f>COUNTIFS(D:D,"=Minimal",F:F,"=Function Available")</f>
        <v>0</v>
      </c>
      <c r="I17" s="120"/>
      <c r="J17" s="121"/>
      <c r="K17" s="120"/>
      <c r="L17" s="85"/>
    </row>
    <row r="18" spans="2:12" ht="30" hidden="1" customHeight="1" x14ac:dyDescent="0.25">
      <c r="B18" s="192"/>
      <c r="C18" s="192"/>
      <c r="D18" s="193"/>
      <c r="E18" s="122"/>
      <c r="F18" s="118"/>
      <c r="G18" s="62" t="s">
        <v>82</v>
      </c>
      <c r="H18" s="119">
        <f>COUNTIFS(D:D,"=Minimal",F:F,"=Function Not Available")</f>
        <v>0</v>
      </c>
      <c r="I18" s="120"/>
      <c r="J18" s="121"/>
      <c r="K18" s="120"/>
      <c r="L18" s="85"/>
    </row>
    <row r="19" spans="2:12" ht="30" hidden="1" customHeight="1" x14ac:dyDescent="0.25">
      <c r="B19" s="192"/>
      <c r="C19" s="192"/>
      <c r="D19" s="193"/>
      <c r="E19" s="122"/>
      <c r="F19" s="118"/>
      <c r="G19" s="62" t="s">
        <v>83</v>
      </c>
      <c r="H19" s="119">
        <f>COUNTIFS(D:D,"=Minimal",F:F,"=Exception")</f>
        <v>0</v>
      </c>
      <c r="I19" s="120"/>
      <c r="J19" s="121"/>
      <c r="K19" s="120"/>
      <c r="L19" s="85"/>
    </row>
    <row r="20" spans="2:12" x14ac:dyDescent="0.25"/>
  </sheetData>
  <sheetProtection algorithmName="SHA-512" hashValue="mBtVP9/AbkcLMenFNySSyJF7fnVBTl1GhvpTytvDL9uwIc5wkr/wEL7WRwXM4z3LQjzbbcnW/WK2G32HuyKo8w==" saltValue="qOxvoRcbaNQVuS+7SRC5Xg==" spinCount="100000" sheet="1" selectLockedCells="1"/>
  <conditionalFormatting sqref="D4:D19">
    <cfRule type="cellIs" dxfId="62" priority="10" operator="equal">
      <formula>"Important"</formula>
    </cfRule>
    <cfRule type="cellIs" dxfId="61" priority="11" operator="equal">
      <formula>"Crucial"</formula>
    </cfRule>
    <cfRule type="cellIs" dxfId="60" priority="12" operator="equal">
      <formula>"N/A"</formula>
    </cfRule>
  </conditionalFormatting>
  <conditionalFormatting sqref="F4:F19">
    <cfRule type="cellIs" dxfId="59" priority="1" operator="equal">
      <formula>"Function Not Available"</formula>
    </cfRule>
    <cfRule type="cellIs" dxfId="58" priority="2" operator="equal">
      <formula>"Function Available"</formula>
    </cfRule>
    <cfRule type="cellIs" dxfId="57" priority="3" operator="equal">
      <formula>"Exception"</formula>
    </cfRule>
  </conditionalFormatting>
  <dataValidations count="3">
    <dataValidation type="list" allowBlank="1" showInputMessage="1" showErrorMessage="1" sqref="F4:F5" xr:uid="{00000000-0002-0000-1800-000000000000}">
      <formula1>AvailabilityType</formula1>
    </dataValidation>
    <dataValidation type="list" allowBlank="1" showInputMessage="1" showErrorMessage="1" sqref="D4:D15" xr:uid="{00000000-0002-0000-1800-000001000000}">
      <formula1>SpecType</formula1>
    </dataValidation>
    <dataValidation type="list" allowBlank="1" showInputMessage="1" showErrorMessage="1" errorTitle="Invalid specification type" error="Please enter a Specification type from the drop-down list." sqref="F6:F15" xr:uid="{00000000-0002-0000-1800-000002000000}">
      <formula1>AvailabilityType</formula1>
    </dataValidation>
  </dataValidations>
  <pageMargins left="0.7" right="0.7" top="0.75" bottom="0.75" header="0.3" footer="0.3"/>
  <pageSetup scale="47" fitToHeight="0" orientation="portrait" r:id="rId1"/>
  <headerFooter>
    <oddHeader>&amp;CGCCDA
&amp;F&amp;R&amp;A</oddHeader>
    <oddFooter>&amp;LTSSI Consulting LLC, March 2026&amp;CPage &amp;P of &amp;N</oddFooter>
  </headerFooter>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CC00"/>
    <pageSetUpPr fitToPage="1"/>
  </sheetPr>
  <dimension ref="A1:M20"/>
  <sheetViews>
    <sheetView showGridLines="0" zoomScale="80" zoomScaleNormal="80" workbookViewId="0">
      <selection activeCell="F4" sqref="F4"/>
    </sheetView>
  </sheetViews>
  <sheetFormatPr defaultColWidth="0" defaultRowHeight="15" zeroHeight="1" x14ac:dyDescent="0.25"/>
  <cols>
    <col min="1" max="1" width="1.7109375" customWidth="1"/>
    <col min="2" max="2" width="11.7109375" customWidth="1"/>
    <col min="3" max="3" width="11.42578125" customWidth="1"/>
    <col min="4" max="4" width="23.28515625" customWidth="1"/>
    <col min="5" max="5" width="65.7109375" style="63" customWidth="1"/>
    <col min="6" max="6" width="28.7109375" customWidth="1"/>
    <col min="7" max="7" width="15.42578125" style="64" hidden="1" customWidth="1"/>
    <col min="8" max="11" width="12.7109375" hidden="1" customWidth="1"/>
    <col min="12" max="12" width="49.42578125" customWidth="1"/>
    <col min="13" max="13" width="8.7109375" customWidth="1"/>
    <col min="14" max="16384" width="8.7109375" hidden="1"/>
  </cols>
  <sheetData>
    <row r="1" spans="2:12" ht="5.65" customHeight="1" thickBot="1" x14ac:dyDescent="0.3"/>
    <row r="2" spans="2:12" ht="129" customHeight="1" thickBot="1" x14ac:dyDescent="0.3">
      <c r="B2" s="95" t="s">
        <v>44</v>
      </c>
      <c r="C2" s="95" t="s">
        <v>45</v>
      </c>
      <c r="D2" s="95" t="s">
        <v>46</v>
      </c>
      <c r="E2" s="95" t="s">
        <v>389</v>
      </c>
      <c r="F2" s="95" t="s">
        <v>42</v>
      </c>
      <c r="G2" s="96" t="s">
        <v>48</v>
      </c>
      <c r="H2" s="96" t="s">
        <v>49</v>
      </c>
      <c r="I2" s="97" t="s">
        <v>50</v>
      </c>
      <c r="J2" s="97" t="s">
        <v>51</v>
      </c>
      <c r="K2" s="98" t="s">
        <v>14</v>
      </c>
      <c r="L2" s="99" t="s">
        <v>52</v>
      </c>
    </row>
    <row r="3" spans="2:12" ht="16.5" thickBot="1" x14ac:dyDescent="0.3">
      <c r="B3" s="100" t="s">
        <v>390</v>
      </c>
      <c r="C3" s="72"/>
      <c r="D3" s="72"/>
      <c r="E3" s="72"/>
      <c r="F3" s="72"/>
      <c r="G3" s="73" t="s">
        <v>54</v>
      </c>
      <c r="H3" s="74">
        <f>COUNTA(D4:D478)</f>
        <v>9</v>
      </c>
      <c r="I3" s="75"/>
      <c r="J3" s="76" t="s">
        <v>55</v>
      </c>
      <c r="K3" s="77">
        <f t="shared" ref="K3" si="0">SUM(K4:K478)</f>
        <v>0</v>
      </c>
      <c r="L3" s="101"/>
    </row>
    <row r="4" spans="2:12" ht="30" customHeight="1" x14ac:dyDescent="0.25">
      <c r="B4" s="102" t="s">
        <v>391</v>
      </c>
      <c r="C4" s="79">
        <v>1</v>
      </c>
      <c r="D4" s="80" t="s">
        <v>9</v>
      </c>
      <c r="E4" s="138" t="s">
        <v>392</v>
      </c>
      <c r="F4" s="223" t="s">
        <v>43</v>
      </c>
      <c r="G4" s="224" t="s">
        <v>57</v>
      </c>
      <c r="H4" s="225">
        <f>COUNTIF(F4:F478,"Select from Drop Down")</f>
        <v>9</v>
      </c>
      <c r="I4" s="226">
        <f>VLOOKUP($D4,SpecData,2,FALSE)</f>
        <v>3</v>
      </c>
      <c r="J4" s="227">
        <f>VLOOKUP($F4,AvailabilityData,2,FALSE)</f>
        <v>0</v>
      </c>
      <c r="K4" s="228">
        <f>I4*J4</f>
        <v>0</v>
      </c>
      <c r="L4" s="26"/>
    </row>
    <row r="5" spans="2:12" ht="30" customHeight="1" x14ac:dyDescent="0.25">
      <c r="B5" s="102" t="str">
        <f>IF(C5="","",$B$4)</f>
        <v>IPict</v>
      </c>
      <c r="C5" s="79">
        <f>IF(ISTEXT(D5),MAX($C$4:$C4)+1,"")</f>
        <v>2</v>
      </c>
      <c r="D5" s="80" t="s">
        <v>10</v>
      </c>
      <c r="E5" s="138" t="s">
        <v>393</v>
      </c>
      <c r="F5" s="223" t="s">
        <v>43</v>
      </c>
      <c r="G5" s="224" t="s">
        <v>59</v>
      </c>
      <c r="H5" s="225">
        <f>COUNTIF(F4:F478,"Function Available")</f>
        <v>0</v>
      </c>
      <c r="I5" s="226">
        <f>VLOOKUP($D5,SpecData,2,FALSE)</f>
        <v>2</v>
      </c>
      <c r="J5" s="227">
        <f>VLOOKUP($F5,AvailabilityData,2,FALSE)</f>
        <v>0</v>
      </c>
      <c r="K5" s="228">
        <f t="shared" ref="K5:K12" si="1">I5*J5</f>
        <v>0</v>
      </c>
      <c r="L5" s="26"/>
    </row>
    <row r="6" spans="2:12" ht="30" customHeight="1" x14ac:dyDescent="0.25">
      <c r="B6" s="102" t="str">
        <f>IF(C6="","",$B$4)</f>
        <v>IPict</v>
      </c>
      <c r="C6" s="79">
        <f>IF(ISTEXT(D6),MAX($C$4:$C5)+1,"")</f>
        <v>3</v>
      </c>
      <c r="D6" s="80" t="s">
        <v>10</v>
      </c>
      <c r="E6" s="138" t="s">
        <v>394</v>
      </c>
      <c r="F6" s="223" t="s">
        <v>43</v>
      </c>
      <c r="G6" s="224" t="s">
        <v>61</v>
      </c>
      <c r="H6" s="231">
        <f>COUNTIF(F4:F478,"Function Not Available")</f>
        <v>0</v>
      </c>
      <c r="I6" s="226">
        <f t="shared" ref="I6:I12" si="2">VLOOKUP($D6,SpecData,2,FALSE)</f>
        <v>2</v>
      </c>
      <c r="J6" s="227">
        <f t="shared" ref="J6:J12" si="3">VLOOKUP($F6,AvailabilityData,2,FALSE)</f>
        <v>0</v>
      </c>
      <c r="K6" s="228">
        <f t="shared" si="1"/>
        <v>0</v>
      </c>
      <c r="L6" s="26"/>
    </row>
    <row r="7" spans="2:12" ht="30" customHeight="1" x14ac:dyDescent="0.25">
      <c r="B7" s="102" t="str">
        <f t="shared" ref="B7:B12" si="4">IF(C7="","",$B$4)</f>
        <v>IPict</v>
      </c>
      <c r="C7" s="79">
        <f>IF(ISTEXT(D7),MAX($C$4:$C6)+1,"")</f>
        <v>4</v>
      </c>
      <c r="D7" s="80" t="s">
        <v>10</v>
      </c>
      <c r="E7" s="138" t="s">
        <v>395</v>
      </c>
      <c r="F7" s="223" t="s">
        <v>43</v>
      </c>
      <c r="G7" s="224" t="s">
        <v>63</v>
      </c>
      <c r="H7" s="231">
        <f>COUNTIF(F4:F478,"Exception")</f>
        <v>0</v>
      </c>
      <c r="I7" s="226">
        <f t="shared" si="2"/>
        <v>2</v>
      </c>
      <c r="J7" s="227">
        <f t="shared" si="3"/>
        <v>0</v>
      </c>
      <c r="K7" s="228">
        <f t="shared" si="1"/>
        <v>0</v>
      </c>
      <c r="L7" s="26"/>
    </row>
    <row r="8" spans="2:12" ht="30" customHeight="1" x14ac:dyDescent="0.25">
      <c r="B8" s="102" t="str">
        <f t="shared" si="4"/>
        <v>IPict</v>
      </c>
      <c r="C8" s="79">
        <f>IF(ISTEXT(D8),MAX($C$4:$C7)+1,"")</f>
        <v>5</v>
      </c>
      <c r="D8" s="80" t="s">
        <v>10</v>
      </c>
      <c r="E8" s="138" t="s">
        <v>396</v>
      </c>
      <c r="F8" s="223" t="s">
        <v>43</v>
      </c>
      <c r="G8" s="224" t="s">
        <v>65</v>
      </c>
      <c r="H8" s="232">
        <f>COUNTIFS(D:D,"=Crucial",F:F,"=Select From Drop Down")</f>
        <v>1</v>
      </c>
      <c r="I8" s="226">
        <f t="shared" si="2"/>
        <v>2</v>
      </c>
      <c r="J8" s="227">
        <f t="shared" si="3"/>
        <v>0</v>
      </c>
      <c r="K8" s="228">
        <f t="shared" si="1"/>
        <v>0</v>
      </c>
      <c r="L8" s="26"/>
    </row>
    <row r="9" spans="2:12" ht="30" customHeight="1" x14ac:dyDescent="0.25">
      <c r="B9" s="102" t="str">
        <f t="shared" si="4"/>
        <v>IPict</v>
      </c>
      <c r="C9" s="79">
        <f>IF(ISTEXT(D9),MAX($C$4:$C8)+1,"")</f>
        <v>6</v>
      </c>
      <c r="D9" s="80" t="s">
        <v>10</v>
      </c>
      <c r="E9" s="138" t="s">
        <v>397</v>
      </c>
      <c r="F9" s="223" t="s">
        <v>43</v>
      </c>
      <c r="G9" s="224" t="s">
        <v>67</v>
      </c>
      <c r="H9" s="232">
        <f>COUNTIFS(D:D,"=Crucial",F:F,"=Function Available")</f>
        <v>0</v>
      </c>
      <c r="I9" s="226">
        <f t="shared" si="2"/>
        <v>2</v>
      </c>
      <c r="J9" s="227">
        <f t="shared" si="3"/>
        <v>0</v>
      </c>
      <c r="K9" s="228">
        <f t="shared" si="1"/>
        <v>0</v>
      </c>
      <c r="L9" s="26"/>
    </row>
    <row r="10" spans="2:12" ht="30" customHeight="1" x14ac:dyDescent="0.25">
      <c r="B10" s="102" t="str">
        <f t="shared" si="4"/>
        <v>IPict</v>
      </c>
      <c r="C10" s="79">
        <f>IF(ISTEXT(D10),MAX($C$4:$C9)+1,"")</f>
        <v>7</v>
      </c>
      <c r="D10" s="80" t="s">
        <v>10</v>
      </c>
      <c r="E10" s="138" t="s">
        <v>398</v>
      </c>
      <c r="F10" s="223" t="s">
        <v>43</v>
      </c>
      <c r="G10" s="224" t="s">
        <v>69</v>
      </c>
      <c r="H10" s="232">
        <f>COUNTIFS(D:D,"=Crucial",F:F,"=Function Not Available")</f>
        <v>0</v>
      </c>
      <c r="I10" s="226">
        <f t="shared" si="2"/>
        <v>2</v>
      </c>
      <c r="J10" s="227">
        <f t="shared" si="3"/>
        <v>0</v>
      </c>
      <c r="K10" s="228">
        <f t="shared" si="1"/>
        <v>0</v>
      </c>
      <c r="L10" s="26"/>
    </row>
    <row r="11" spans="2:12" ht="30" customHeight="1" x14ac:dyDescent="0.25">
      <c r="B11" s="102" t="str">
        <f t="shared" si="4"/>
        <v>IPict</v>
      </c>
      <c r="C11" s="79">
        <f>IF(ISTEXT(D11),MAX($C$4:$C10)+1,"")</f>
        <v>8</v>
      </c>
      <c r="D11" s="80" t="s">
        <v>10</v>
      </c>
      <c r="E11" s="104" t="s">
        <v>399</v>
      </c>
      <c r="F11" s="223" t="s">
        <v>43</v>
      </c>
      <c r="G11" s="224" t="s">
        <v>70</v>
      </c>
      <c r="H11" s="232">
        <f>COUNTIFS(D:D,"=Crucial",F:F,"=Exception")</f>
        <v>0</v>
      </c>
      <c r="I11" s="226">
        <f t="shared" si="2"/>
        <v>2</v>
      </c>
      <c r="J11" s="227">
        <f t="shared" si="3"/>
        <v>0</v>
      </c>
      <c r="K11" s="228">
        <f t="shared" si="1"/>
        <v>0</v>
      </c>
      <c r="L11" s="26"/>
    </row>
    <row r="12" spans="2:12" ht="30" customHeight="1" thickBot="1" x14ac:dyDescent="0.3">
      <c r="B12" s="105" t="str">
        <f t="shared" si="4"/>
        <v>IPict</v>
      </c>
      <c r="C12" s="106">
        <f>IF(ISTEXT(D12),MAX($C$4:$C11)+1,"")</f>
        <v>9</v>
      </c>
      <c r="D12" s="80" t="s">
        <v>10</v>
      </c>
      <c r="E12" s="107" t="s">
        <v>400</v>
      </c>
      <c r="F12" s="284" t="s">
        <v>43</v>
      </c>
      <c r="G12" s="245" t="s">
        <v>72</v>
      </c>
      <c r="H12" s="246">
        <f>COUNTIFS(D:D,"=Important",F:F,"=Select From Drop Down")</f>
        <v>8</v>
      </c>
      <c r="I12" s="247">
        <f t="shared" si="2"/>
        <v>2</v>
      </c>
      <c r="J12" s="248">
        <f t="shared" si="3"/>
        <v>0</v>
      </c>
      <c r="K12" s="249">
        <f t="shared" si="1"/>
        <v>0</v>
      </c>
      <c r="L12" s="27"/>
    </row>
    <row r="13" spans="2:12" ht="30" hidden="1" customHeight="1" x14ac:dyDescent="0.25">
      <c r="B13" s="109"/>
      <c r="C13" s="109"/>
      <c r="D13" s="110"/>
      <c r="E13" s="191"/>
      <c r="F13" s="112"/>
      <c r="G13" s="73" t="s">
        <v>74</v>
      </c>
      <c r="H13" s="113">
        <f>COUNTIFS(D:D,"=Important",F:F,"=Function Available")</f>
        <v>0</v>
      </c>
      <c r="I13" s="114"/>
      <c r="J13" s="115"/>
      <c r="K13" s="114"/>
      <c r="L13" s="116"/>
    </row>
    <row r="14" spans="2:12" ht="30" hidden="1" customHeight="1" x14ac:dyDescent="0.25">
      <c r="B14" s="192"/>
      <c r="C14" s="192"/>
      <c r="D14" s="193"/>
      <c r="E14" s="122"/>
      <c r="F14" s="118"/>
      <c r="G14" s="62" t="s">
        <v>76</v>
      </c>
      <c r="H14" s="119">
        <f>COUNTIFS(D:D,"=Important",F:F,"=Function Not Available")</f>
        <v>0</v>
      </c>
      <c r="I14" s="120"/>
      <c r="J14" s="121"/>
      <c r="K14" s="120"/>
      <c r="L14" s="85"/>
    </row>
    <row r="15" spans="2:12" ht="30" hidden="1" customHeight="1" x14ac:dyDescent="0.25">
      <c r="B15" s="192"/>
      <c r="C15" s="192"/>
      <c r="D15" s="193"/>
      <c r="E15" s="122"/>
      <c r="F15" s="118"/>
      <c r="G15" s="62" t="s">
        <v>77</v>
      </c>
      <c r="H15" s="119">
        <f>COUNTIFS(D:D,"=Important",F:F,"=Exception")</f>
        <v>0</v>
      </c>
      <c r="I15" s="120"/>
      <c r="J15" s="121"/>
      <c r="K15" s="120"/>
      <c r="L15" s="85"/>
    </row>
    <row r="16" spans="2:12" ht="30" hidden="1" customHeight="1" x14ac:dyDescent="0.25">
      <c r="B16" s="192"/>
      <c r="C16" s="192"/>
      <c r="D16" s="193"/>
      <c r="E16" s="122"/>
      <c r="F16" s="118"/>
      <c r="G16" s="62" t="s">
        <v>78</v>
      </c>
      <c r="H16" s="119">
        <f>COUNTIFS(D:D,"=Minimal",F:F,"=Select From Drop Down")</f>
        <v>0</v>
      </c>
      <c r="I16" s="120"/>
      <c r="J16" s="121"/>
      <c r="K16" s="120"/>
      <c r="L16" s="85"/>
    </row>
    <row r="17" spans="2:12" ht="30" hidden="1" customHeight="1" x14ac:dyDescent="0.25">
      <c r="B17" s="192"/>
      <c r="C17" s="192"/>
      <c r="D17" s="193"/>
      <c r="E17" s="122"/>
      <c r="F17" s="118"/>
      <c r="G17" s="62" t="s">
        <v>80</v>
      </c>
      <c r="H17" s="119">
        <f>COUNTIFS(D:D,"=Minimal",F:F,"=Function Available")</f>
        <v>0</v>
      </c>
      <c r="I17" s="120"/>
      <c r="J17" s="121"/>
      <c r="K17" s="120"/>
      <c r="L17" s="85"/>
    </row>
    <row r="18" spans="2:12" ht="30" hidden="1" customHeight="1" x14ac:dyDescent="0.25">
      <c r="B18" s="192"/>
      <c r="C18" s="192"/>
      <c r="D18" s="193"/>
      <c r="E18" s="122"/>
      <c r="F18" s="118"/>
      <c r="G18" s="62" t="s">
        <v>82</v>
      </c>
      <c r="H18" s="119">
        <f>COUNTIFS(D:D,"=Minimal",F:F,"=Function Not Available")</f>
        <v>0</v>
      </c>
      <c r="I18" s="120"/>
      <c r="J18" s="121"/>
      <c r="K18" s="120"/>
      <c r="L18" s="85"/>
    </row>
    <row r="19" spans="2:12" ht="30" hidden="1" customHeight="1" x14ac:dyDescent="0.25">
      <c r="B19" s="192"/>
      <c r="C19" s="192"/>
      <c r="D19" s="193"/>
      <c r="E19" s="122"/>
      <c r="F19" s="118"/>
      <c r="G19" s="62" t="s">
        <v>83</v>
      </c>
      <c r="H19" s="119">
        <f>COUNTIFS(D:D,"=Minimal",F:F,"=Exception")</f>
        <v>0</v>
      </c>
      <c r="I19" s="120"/>
      <c r="J19" s="121"/>
      <c r="K19" s="120"/>
      <c r="L19" s="85"/>
    </row>
    <row r="20" spans="2:12" ht="9.6" customHeight="1" x14ac:dyDescent="0.25"/>
  </sheetData>
  <sheetProtection algorithmName="SHA-512" hashValue="NvcEYokHd6UpBPUehixPvQnrvriqJnpRd6T1lUVn6NqTtGofwWgYOHrbbwqUaeGdQfHpYZDshMyRmG5WDEHMZw==" saltValue="TWQDNkoqTBGwb2BwLOpN5A==" spinCount="100000" sheet="1" selectLockedCells="1"/>
  <conditionalFormatting sqref="D4:D19">
    <cfRule type="cellIs" dxfId="56" priority="1" operator="equal">
      <formula>"Important"</formula>
    </cfRule>
    <cfRule type="cellIs" dxfId="55" priority="2" operator="equal">
      <formula>"Crucial"</formula>
    </cfRule>
    <cfRule type="cellIs" dxfId="54" priority="3" operator="equal">
      <formula>"N/A"</formula>
    </cfRule>
  </conditionalFormatting>
  <conditionalFormatting sqref="F4:F19">
    <cfRule type="cellIs" dxfId="53" priority="7" operator="equal">
      <formula>"Function Not Available"</formula>
    </cfRule>
    <cfRule type="cellIs" dxfId="52" priority="8" operator="equal">
      <formula>"Function Available"</formula>
    </cfRule>
    <cfRule type="cellIs" dxfId="51" priority="9" operator="equal">
      <formula>"Exception"</formula>
    </cfRule>
  </conditionalFormatting>
  <dataValidations count="3">
    <dataValidation type="list" allowBlank="1" showInputMessage="1" showErrorMessage="1" sqref="F4:F5" xr:uid="{00000000-0002-0000-1900-000000000000}">
      <formula1>AvailabilityType</formula1>
    </dataValidation>
    <dataValidation type="list" allowBlank="1" showInputMessage="1" showErrorMessage="1" sqref="D4:D12" xr:uid="{574EFCB6-C1D4-459F-880A-B7A96DE5E168}">
      <formula1>SpecType</formula1>
    </dataValidation>
    <dataValidation type="list" allowBlank="1" showInputMessage="1" showErrorMessage="1" errorTitle="Invalid specification type" error="Please enter a Specification type from the drop-down list." sqref="F6:F12" xr:uid="{00000000-0002-0000-1900-000002000000}">
      <formula1>AvailabilityType</formula1>
    </dataValidation>
  </dataValidations>
  <pageMargins left="0.7" right="0.7" top="0.75" bottom="0.75" header="0.3" footer="0.3"/>
  <pageSetup scale="47" fitToHeight="0" orientation="portrait" r:id="rId1"/>
  <headerFooter>
    <oddHeader>&amp;CGCCDA
&amp;F&amp;R&amp;A</oddHeader>
    <oddFooter>&amp;LTSSI Consulting LLC, March 2026&amp;CPage &amp;P of &amp;N</oddFooter>
  </headerFooter>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CC00"/>
    <pageSetUpPr fitToPage="1"/>
  </sheetPr>
  <dimension ref="A1:M58"/>
  <sheetViews>
    <sheetView showGridLines="0" zoomScale="90" zoomScaleNormal="90" workbookViewId="0">
      <selection activeCell="F4" sqref="F4"/>
    </sheetView>
  </sheetViews>
  <sheetFormatPr defaultColWidth="0" defaultRowHeight="15" zeroHeight="1" x14ac:dyDescent="0.25"/>
  <cols>
    <col min="1" max="1" width="1.28515625" customWidth="1"/>
    <col min="2" max="2" width="11.7109375" customWidth="1"/>
    <col min="3" max="3" width="11.42578125" customWidth="1"/>
    <col min="4" max="4" width="23.28515625" customWidth="1"/>
    <col min="5" max="5" width="65.7109375" style="63" customWidth="1"/>
    <col min="6" max="6" width="28.7109375" customWidth="1"/>
    <col min="7" max="7" width="15.42578125" style="64" hidden="1" customWidth="1"/>
    <col min="8" max="11" width="12.7109375" hidden="1" customWidth="1"/>
    <col min="12" max="12" width="49.42578125" customWidth="1"/>
    <col min="13" max="13" width="8.7109375" customWidth="1"/>
    <col min="14" max="16384" width="8.7109375" hidden="1"/>
  </cols>
  <sheetData>
    <row r="1" spans="2:12" ht="6" customHeight="1" x14ac:dyDescent="0.25"/>
    <row r="2" spans="2:12" ht="129" customHeight="1" thickBot="1" x14ac:dyDescent="0.3">
      <c r="B2" s="65" t="s">
        <v>44</v>
      </c>
      <c r="C2" s="66" t="s">
        <v>45</v>
      </c>
      <c r="D2" s="66" t="s">
        <v>46</v>
      </c>
      <c r="E2" s="66" t="s">
        <v>401</v>
      </c>
      <c r="F2" s="66" t="s">
        <v>42</v>
      </c>
      <c r="G2" s="67" t="s">
        <v>48</v>
      </c>
      <c r="H2" s="67" t="s">
        <v>49</v>
      </c>
      <c r="I2" s="68" t="s">
        <v>50</v>
      </c>
      <c r="J2" s="68" t="s">
        <v>51</v>
      </c>
      <c r="K2" s="69" t="s">
        <v>14</v>
      </c>
      <c r="L2" s="70" t="s">
        <v>52</v>
      </c>
    </row>
    <row r="3" spans="2:12" ht="16.5" thickBot="1" x14ac:dyDescent="0.3">
      <c r="B3" s="72" t="s">
        <v>402</v>
      </c>
      <c r="C3" s="72"/>
      <c r="D3" s="72"/>
      <c r="E3" s="72"/>
      <c r="F3" s="72"/>
      <c r="G3" s="73" t="s">
        <v>54</v>
      </c>
      <c r="H3" s="74">
        <f>COUNTA(D4:D498)</f>
        <v>50</v>
      </c>
      <c r="I3" s="75"/>
      <c r="J3" s="76" t="s">
        <v>55</v>
      </c>
      <c r="K3" s="77">
        <f>SUM(K4:K498)</f>
        <v>0</v>
      </c>
      <c r="L3" s="72"/>
    </row>
    <row r="4" spans="2:12" ht="30" customHeight="1" x14ac:dyDescent="0.25">
      <c r="B4" s="78" t="s">
        <v>403</v>
      </c>
      <c r="C4" s="79">
        <v>1</v>
      </c>
      <c r="D4" s="80" t="s">
        <v>11</v>
      </c>
      <c r="E4" s="204" t="s">
        <v>718</v>
      </c>
      <c r="F4" s="223" t="s">
        <v>43</v>
      </c>
      <c r="G4" s="224" t="s">
        <v>57</v>
      </c>
      <c r="H4" s="225">
        <f>COUNTIF(F4:F498,"Select from Drop Down")</f>
        <v>50</v>
      </c>
      <c r="I4" s="226">
        <f>VLOOKUP($D4,SpecData,2,FALSE)</f>
        <v>1</v>
      </c>
      <c r="J4" s="227">
        <f>VLOOKUP($F4,AvailabilityData,2,FALSE)</f>
        <v>0</v>
      </c>
      <c r="K4" s="228">
        <f>I4*J4</f>
        <v>0</v>
      </c>
      <c r="L4" s="20"/>
    </row>
    <row r="5" spans="2:12" ht="30" customHeight="1" x14ac:dyDescent="0.25">
      <c r="B5" s="78" t="str">
        <f>IF(C5="","",$B$4)</f>
        <v>IRadio</v>
      </c>
      <c r="C5" s="79">
        <f>IF(ISTEXT(D5),MAX($C$4:$C4)+1,"")</f>
        <v>2</v>
      </c>
      <c r="D5" s="80" t="s">
        <v>11</v>
      </c>
      <c r="E5" s="204" t="s">
        <v>404</v>
      </c>
      <c r="F5" s="223" t="s">
        <v>43</v>
      </c>
      <c r="G5" s="224" t="s">
        <v>59</v>
      </c>
      <c r="H5" s="225">
        <f>COUNTIF(F4:F498,"Function Available")</f>
        <v>0</v>
      </c>
      <c r="I5" s="226">
        <f>VLOOKUP($D5,SpecData,2,FALSE)</f>
        <v>1</v>
      </c>
      <c r="J5" s="227">
        <f>VLOOKUP($F5,AvailabilityData,2,FALSE)</f>
        <v>0</v>
      </c>
      <c r="K5" s="228">
        <f t="shared" ref="K5:K57" si="0">I5*J5</f>
        <v>0</v>
      </c>
      <c r="L5" s="20"/>
    </row>
    <row r="6" spans="2:12" ht="30" customHeight="1" x14ac:dyDescent="0.25">
      <c r="B6" s="124" t="str">
        <f t="shared" ref="B6" si="1">IF(C6="","",$B$4)</f>
        <v/>
      </c>
      <c r="C6" s="125" t="str">
        <f>IF(ISTEXT(D6),MAX($C5:$C$6)+1,"")</f>
        <v/>
      </c>
      <c r="D6" s="126"/>
      <c r="E6" s="205" t="s">
        <v>405</v>
      </c>
      <c r="F6" s="128"/>
      <c r="G6" s="129"/>
      <c r="H6" s="129"/>
      <c r="I6" s="129"/>
      <c r="J6" s="129"/>
      <c r="K6" s="129"/>
      <c r="L6" s="129"/>
    </row>
    <row r="7" spans="2:12" ht="30" customHeight="1" x14ac:dyDescent="0.25">
      <c r="B7" s="78" t="str">
        <f>IF(C7="","",$B$4)</f>
        <v>IRadio</v>
      </c>
      <c r="C7" s="79">
        <f>IF(ISTEXT(D7),MAX($C$4:$C5)+1,"")</f>
        <v>3</v>
      </c>
      <c r="D7" s="80" t="s">
        <v>10</v>
      </c>
      <c r="E7" s="206" t="s">
        <v>600</v>
      </c>
      <c r="F7" s="223" t="s">
        <v>43</v>
      </c>
      <c r="G7" s="224" t="s">
        <v>61</v>
      </c>
      <c r="H7" s="231">
        <f>COUNTIF(F4:F498,"Function Not Available")</f>
        <v>0</v>
      </c>
      <c r="I7" s="226">
        <f t="shared" ref="I7:I57" si="2">VLOOKUP($D7,SpecData,2,FALSE)</f>
        <v>2</v>
      </c>
      <c r="J7" s="227">
        <f t="shared" ref="J7:J57" si="3">VLOOKUP($F7,AvailabilityData,2,FALSE)</f>
        <v>0</v>
      </c>
      <c r="K7" s="228">
        <f t="shared" si="0"/>
        <v>0</v>
      </c>
      <c r="L7" s="20"/>
    </row>
    <row r="8" spans="2:12" ht="30" customHeight="1" x14ac:dyDescent="0.25">
      <c r="B8" s="78" t="str">
        <f t="shared" ref="B8:B48" si="4">IF(C8="","",$B$4)</f>
        <v>IRadio</v>
      </c>
      <c r="C8" s="79">
        <f>IF(ISTEXT(D8),MAX($C$4:$C7)+1,"")</f>
        <v>4</v>
      </c>
      <c r="D8" s="80" t="s">
        <v>10</v>
      </c>
      <c r="E8" s="206" t="s">
        <v>601</v>
      </c>
      <c r="F8" s="223" t="s">
        <v>43</v>
      </c>
      <c r="G8" s="224" t="s">
        <v>63</v>
      </c>
      <c r="H8" s="231">
        <f>COUNTIF(F4:F498,"Exception")</f>
        <v>0</v>
      </c>
      <c r="I8" s="226">
        <f t="shared" si="2"/>
        <v>2</v>
      </c>
      <c r="J8" s="227">
        <f t="shared" si="3"/>
        <v>0</v>
      </c>
      <c r="K8" s="228">
        <f t="shared" si="0"/>
        <v>0</v>
      </c>
      <c r="L8" s="20"/>
    </row>
    <row r="9" spans="2:12" ht="30" customHeight="1" x14ac:dyDescent="0.25">
      <c r="B9" s="78" t="str">
        <f t="shared" si="4"/>
        <v>IRadio</v>
      </c>
      <c r="C9" s="79">
        <f>IF(ISTEXT(D9),MAX($C$4:$C8)+1,"")</f>
        <v>5</v>
      </c>
      <c r="D9" s="80" t="s">
        <v>10</v>
      </c>
      <c r="E9" s="206" t="s">
        <v>602</v>
      </c>
      <c r="F9" s="223" t="s">
        <v>43</v>
      </c>
      <c r="G9" s="224" t="s">
        <v>65</v>
      </c>
      <c r="H9" s="232">
        <f>COUNTIFS(D:D,"=Crucial",F:F,"=Select From Drop Down")</f>
        <v>0</v>
      </c>
      <c r="I9" s="226">
        <f t="shared" si="2"/>
        <v>2</v>
      </c>
      <c r="J9" s="227">
        <f t="shared" si="3"/>
        <v>0</v>
      </c>
      <c r="K9" s="228">
        <f t="shared" si="0"/>
        <v>0</v>
      </c>
      <c r="L9" s="20"/>
    </row>
    <row r="10" spans="2:12" ht="30" customHeight="1" x14ac:dyDescent="0.25">
      <c r="B10" s="78" t="str">
        <f t="shared" si="4"/>
        <v>IRadio</v>
      </c>
      <c r="C10" s="79">
        <f>IF(ISTEXT(D10),MAX($C$4:$C9)+1,"")</f>
        <v>6</v>
      </c>
      <c r="D10" s="80" t="s">
        <v>10</v>
      </c>
      <c r="E10" s="206" t="s">
        <v>603</v>
      </c>
      <c r="F10" s="223" t="s">
        <v>43</v>
      </c>
      <c r="G10" s="224" t="s">
        <v>67</v>
      </c>
      <c r="H10" s="232">
        <f>COUNTIFS(D:D,"=Crucial",F:F,"=Function Available")</f>
        <v>0</v>
      </c>
      <c r="I10" s="226">
        <f t="shared" si="2"/>
        <v>2</v>
      </c>
      <c r="J10" s="227">
        <f t="shared" si="3"/>
        <v>0</v>
      </c>
      <c r="K10" s="228">
        <f t="shared" si="0"/>
        <v>0</v>
      </c>
      <c r="L10" s="20"/>
    </row>
    <row r="11" spans="2:12" ht="30" customHeight="1" x14ac:dyDescent="0.25">
      <c r="B11" s="78" t="str">
        <f t="shared" si="4"/>
        <v>IRadio</v>
      </c>
      <c r="C11" s="79">
        <f>IF(ISTEXT(D11),MAX($C$4:$C10)+1,"")</f>
        <v>7</v>
      </c>
      <c r="D11" s="80" t="s">
        <v>10</v>
      </c>
      <c r="E11" s="206" t="s">
        <v>604</v>
      </c>
      <c r="F11" s="223" t="s">
        <v>43</v>
      </c>
      <c r="G11" s="224" t="s">
        <v>69</v>
      </c>
      <c r="H11" s="232">
        <f>COUNTIFS(D:D,"=Crucial",F:F,"=Function Not Available")</f>
        <v>0</v>
      </c>
      <c r="I11" s="226">
        <f t="shared" si="2"/>
        <v>2</v>
      </c>
      <c r="J11" s="227">
        <f t="shared" si="3"/>
        <v>0</v>
      </c>
      <c r="K11" s="228">
        <f t="shared" si="0"/>
        <v>0</v>
      </c>
      <c r="L11" s="20"/>
    </row>
    <row r="12" spans="2:12" ht="30" customHeight="1" x14ac:dyDescent="0.25">
      <c r="B12" s="78" t="str">
        <f t="shared" si="4"/>
        <v>IRadio</v>
      </c>
      <c r="C12" s="79">
        <f>IF(ISTEXT(D12),MAX($C$4:$C11)+1,"")</f>
        <v>8</v>
      </c>
      <c r="D12" s="80" t="s">
        <v>10</v>
      </c>
      <c r="E12" s="206" t="s">
        <v>605</v>
      </c>
      <c r="F12" s="223" t="s">
        <v>43</v>
      </c>
      <c r="G12" s="224" t="s">
        <v>70</v>
      </c>
      <c r="H12" s="232">
        <f>COUNTIFS(D:D,"=Crucial",F:F,"=Exception")</f>
        <v>0</v>
      </c>
      <c r="I12" s="226">
        <f t="shared" si="2"/>
        <v>2</v>
      </c>
      <c r="J12" s="227">
        <f t="shared" si="3"/>
        <v>0</v>
      </c>
      <c r="K12" s="228">
        <f t="shared" si="0"/>
        <v>0</v>
      </c>
      <c r="L12" s="20"/>
    </row>
    <row r="13" spans="2:12" ht="42.75" x14ac:dyDescent="0.25">
      <c r="B13" s="78" t="str">
        <f t="shared" si="4"/>
        <v>IRadio</v>
      </c>
      <c r="C13" s="79">
        <f>IF(ISTEXT(D13),MAX($C$4:$C12)+1,"")</f>
        <v>9</v>
      </c>
      <c r="D13" s="80" t="s">
        <v>10</v>
      </c>
      <c r="E13" s="207" t="s">
        <v>406</v>
      </c>
      <c r="F13" s="223" t="s">
        <v>43</v>
      </c>
      <c r="G13" s="233" t="s">
        <v>72</v>
      </c>
      <c r="H13" s="234">
        <f>COUNTIFS(D:D,"=Important",F:F,"=Select From Drop Down")</f>
        <v>16</v>
      </c>
      <c r="I13" s="226">
        <f t="shared" si="2"/>
        <v>2</v>
      </c>
      <c r="J13" s="227">
        <f t="shared" si="3"/>
        <v>0</v>
      </c>
      <c r="K13" s="228">
        <f t="shared" si="0"/>
        <v>0</v>
      </c>
      <c r="L13" s="20"/>
    </row>
    <row r="14" spans="2:12" ht="57" x14ac:dyDescent="0.25">
      <c r="B14" s="78" t="str">
        <f t="shared" si="4"/>
        <v>IRadio</v>
      </c>
      <c r="C14" s="79">
        <f>IF(ISTEXT(D14),MAX($C$4:$C13)+1,"")</f>
        <v>10</v>
      </c>
      <c r="D14" s="80" t="s">
        <v>10</v>
      </c>
      <c r="E14" s="204" t="s">
        <v>407</v>
      </c>
      <c r="F14" s="223" t="s">
        <v>43</v>
      </c>
      <c r="G14" s="233" t="s">
        <v>74</v>
      </c>
      <c r="H14" s="234">
        <f>COUNTIFS(D:D,"=Important",F:F,"=Function Available")</f>
        <v>0</v>
      </c>
      <c r="I14" s="226">
        <f t="shared" si="2"/>
        <v>2</v>
      </c>
      <c r="J14" s="227">
        <f t="shared" si="3"/>
        <v>0</v>
      </c>
      <c r="K14" s="228">
        <f t="shared" si="0"/>
        <v>0</v>
      </c>
      <c r="L14" s="20"/>
    </row>
    <row r="15" spans="2:12" ht="30" customHeight="1" x14ac:dyDescent="0.25">
      <c r="B15" s="78" t="str">
        <f t="shared" si="4"/>
        <v>IRadio</v>
      </c>
      <c r="C15" s="79">
        <f>IF(ISTEXT(D15),MAX($C$4:$C14)+1,"")</f>
        <v>11</v>
      </c>
      <c r="D15" s="80" t="s">
        <v>11</v>
      </c>
      <c r="E15" s="104" t="s">
        <v>541</v>
      </c>
      <c r="F15" s="223" t="s">
        <v>43</v>
      </c>
      <c r="G15" s="224" t="s">
        <v>76</v>
      </c>
      <c r="H15" s="232">
        <f>COUNTIFS(D:D,"=Important",F:F,"=Function Not Available")</f>
        <v>0</v>
      </c>
      <c r="I15" s="235">
        <f t="shared" si="2"/>
        <v>1</v>
      </c>
      <c r="J15" s="236">
        <f t="shared" si="3"/>
        <v>0</v>
      </c>
      <c r="K15" s="228">
        <f t="shared" si="0"/>
        <v>0</v>
      </c>
      <c r="L15" s="20"/>
    </row>
    <row r="16" spans="2:12" ht="30" customHeight="1" x14ac:dyDescent="0.25">
      <c r="B16" s="78" t="str">
        <f t="shared" si="4"/>
        <v>IRadio</v>
      </c>
      <c r="C16" s="79">
        <f>IF(ISTEXT(D16),MAX($C$4:$C15)+1,"")</f>
        <v>12</v>
      </c>
      <c r="D16" s="80" t="s">
        <v>11</v>
      </c>
      <c r="E16" s="104" t="s">
        <v>540</v>
      </c>
      <c r="F16" s="223" t="s">
        <v>43</v>
      </c>
      <c r="G16" s="224" t="s">
        <v>77</v>
      </c>
      <c r="H16" s="232">
        <f>COUNTIFS(D:D,"=Important",F:F,"=Exception")</f>
        <v>0</v>
      </c>
      <c r="I16" s="235">
        <f t="shared" si="2"/>
        <v>1</v>
      </c>
      <c r="J16" s="236">
        <f t="shared" si="3"/>
        <v>0</v>
      </c>
      <c r="K16" s="228">
        <f t="shared" si="0"/>
        <v>0</v>
      </c>
      <c r="L16" s="20"/>
    </row>
    <row r="17" spans="2:12" ht="30" customHeight="1" x14ac:dyDescent="0.25">
      <c r="B17" s="78" t="str">
        <f t="shared" si="4"/>
        <v>IRadio</v>
      </c>
      <c r="C17" s="79">
        <f>IF(ISTEXT(D17),MAX($C$4:$C16)+1,"")</f>
        <v>13</v>
      </c>
      <c r="D17" s="80" t="s">
        <v>11</v>
      </c>
      <c r="E17" s="104" t="s">
        <v>408</v>
      </c>
      <c r="F17" s="223" t="s">
        <v>43</v>
      </c>
      <c r="G17" s="224" t="s">
        <v>78</v>
      </c>
      <c r="H17" s="232">
        <f>COUNTIFS(D:D,"=Minimal",F:F,"=Select From Drop Down")</f>
        <v>32</v>
      </c>
      <c r="I17" s="235">
        <f t="shared" si="2"/>
        <v>1</v>
      </c>
      <c r="J17" s="236">
        <f t="shared" si="3"/>
        <v>0</v>
      </c>
      <c r="K17" s="228">
        <f t="shared" si="0"/>
        <v>0</v>
      </c>
      <c r="L17" s="20"/>
    </row>
    <row r="18" spans="2:12" ht="30" customHeight="1" x14ac:dyDescent="0.25">
      <c r="B18" s="78" t="str">
        <f t="shared" si="4"/>
        <v>IRadio</v>
      </c>
      <c r="C18" s="79">
        <f>IF(ISTEXT(D18),MAX($C$4:$C17)+1,"")</f>
        <v>14</v>
      </c>
      <c r="D18" s="80" t="s">
        <v>11</v>
      </c>
      <c r="E18" s="104" t="s">
        <v>409</v>
      </c>
      <c r="F18" s="223" t="s">
        <v>43</v>
      </c>
      <c r="G18" s="224" t="s">
        <v>80</v>
      </c>
      <c r="H18" s="232">
        <f>COUNTIFS(D:D,"=Minimal",F:F,"=Function Available")</f>
        <v>0</v>
      </c>
      <c r="I18" s="235">
        <f t="shared" si="2"/>
        <v>1</v>
      </c>
      <c r="J18" s="236">
        <f t="shared" si="3"/>
        <v>0</v>
      </c>
      <c r="K18" s="228">
        <f t="shared" si="0"/>
        <v>0</v>
      </c>
      <c r="L18" s="20"/>
    </row>
    <row r="19" spans="2:12" ht="30" customHeight="1" x14ac:dyDescent="0.25">
      <c r="B19" s="78" t="str">
        <f t="shared" si="4"/>
        <v>IRadio</v>
      </c>
      <c r="C19" s="79">
        <f>IF(ISTEXT(D19),MAX($C$4:$C18)+1,"")</f>
        <v>15</v>
      </c>
      <c r="D19" s="80" t="s">
        <v>11</v>
      </c>
      <c r="E19" s="104" t="s">
        <v>410</v>
      </c>
      <c r="F19" s="223" t="s">
        <v>43</v>
      </c>
      <c r="G19" s="224" t="s">
        <v>82</v>
      </c>
      <c r="H19" s="232">
        <f>COUNTIFS(D:D,"=Minimal",F:F,"=Function Not Available")</f>
        <v>0</v>
      </c>
      <c r="I19" s="235">
        <f t="shared" si="2"/>
        <v>1</v>
      </c>
      <c r="J19" s="236">
        <f t="shared" si="3"/>
        <v>0</v>
      </c>
      <c r="K19" s="228">
        <f t="shared" si="0"/>
        <v>0</v>
      </c>
      <c r="L19" s="20"/>
    </row>
    <row r="20" spans="2:12" ht="30" customHeight="1" x14ac:dyDescent="0.25">
      <c r="B20" s="78" t="str">
        <f t="shared" si="4"/>
        <v>IRadio</v>
      </c>
      <c r="C20" s="79">
        <f>IF(ISTEXT(D20),MAX($C$4:$C19)+1,"")</f>
        <v>16</v>
      </c>
      <c r="D20" s="80" t="s">
        <v>11</v>
      </c>
      <c r="E20" s="104" t="s">
        <v>411</v>
      </c>
      <c r="F20" s="223" t="s">
        <v>43</v>
      </c>
      <c r="G20" s="224" t="s">
        <v>83</v>
      </c>
      <c r="H20" s="232">
        <f>COUNTIFS(D:D,"=Minimal",F:F,"=Exception")</f>
        <v>0</v>
      </c>
      <c r="I20" s="235">
        <f t="shared" si="2"/>
        <v>1</v>
      </c>
      <c r="J20" s="236">
        <f t="shared" si="3"/>
        <v>0</v>
      </c>
      <c r="K20" s="228">
        <f t="shared" si="0"/>
        <v>0</v>
      </c>
      <c r="L20" s="20"/>
    </row>
    <row r="21" spans="2:12" ht="42.75" x14ac:dyDescent="0.25">
      <c r="B21" s="78" t="str">
        <f t="shared" si="4"/>
        <v>IRadio</v>
      </c>
      <c r="C21" s="79">
        <f>IF(ISTEXT(D21),MAX($C$4:$C20)+1,"")</f>
        <v>17</v>
      </c>
      <c r="D21" s="80" t="s">
        <v>11</v>
      </c>
      <c r="E21" s="104" t="s">
        <v>87</v>
      </c>
      <c r="F21" s="223" t="s">
        <v>43</v>
      </c>
      <c r="G21" s="224"/>
      <c r="H21" s="231"/>
      <c r="I21" s="235">
        <f t="shared" si="2"/>
        <v>1</v>
      </c>
      <c r="J21" s="236">
        <f t="shared" si="3"/>
        <v>0</v>
      </c>
      <c r="K21" s="228">
        <f t="shared" si="0"/>
        <v>0</v>
      </c>
      <c r="L21" s="20"/>
    </row>
    <row r="22" spans="2:12" ht="42.75" x14ac:dyDescent="0.25">
      <c r="B22" s="152" t="str">
        <f t="shared" si="4"/>
        <v>IRadio</v>
      </c>
      <c r="C22" s="153">
        <f>IF(ISTEXT(D22),MAX($C$4:$C21)+1,"")</f>
        <v>18</v>
      </c>
      <c r="D22" s="208" t="s">
        <v>11</v>
      </c>
      <c r="E22" s="209" t="s">
        <v>412</v>
      </c>
      <c r="F22" s="270" t="s">
        <v>43</v>
      </c>
      <c r="G22" s="224"/>
      <c r="H22" s="231"/>
      <c r="I22" s="235">
        <f t="shared" si="2"/>
        <v>1</v>
      </c>
      <c r="J22" s="236">
        <f t="shared" si="3"/>
        <v>0</v>
      </c>
      <c r="K22" s="228">
        <f t="shared" si="0"/>
        <v>0</v>
      </c>
      <c r="L22" s="21"/>
    </row>
    <row r="23" spans="2:12" ht="30" customHeight="1" x14ac:dyDescent="0.25">
      <c r="B23" s="179" t="str">
        <f t="shared" si="4"/>
        <v>IRadio</v>
      </c>
      <c r="C23" s="179">
        <f>IF(ISTEXT(D23),MAX($C$4:$C22)+1,"")</f>
        <v>19</v>
      </c>
      <c r="D23" s="294" t="s">
        <v>11</v>
      </c>
      <c r="E23" s="204" t="s">
        <v>413</v>
      </c>
      <c r="F23" s="229" t="s">
        <v>43</v>
      </c>
      <c r="G23" s="241"/>
      <c r="H23" s="242"/>
      <c r="I23" s="238">
        <f t="shared" si="2"/>
        <v>1</v>
      </c>
      <c r="J23" s="239">
        <f t="shared" si="3"/>
        <v>0</v>
      </c>
      <c r="K23" s="305">
        <f t="shared" si="0"/>
        <v>0</v>
      </c>
      <c r="L23" s="306"/>
    </row>
    <row r="24" spans="2:12" ht="15.75" x14ac:dyDescent="0.25">
      <c r="B24" s="299" t="s">
        <v>414</v>
      </c>
      <c r="C24" s="299"/>
      <c r="D24" s="299"/>
      <c r="E24" s="299"/>
      <c r="F24" s="299"/>
      <c r="G24" s="300"/>
      <c r="H24" s="300"/>
      <c r="I24" s="300"/>
      <c r="J24" s="300"/>
      <c r="K24" s="129"/>
      <c r="L24" s="299"/>
    </row>
    <row r="25" spans="2:12" ht="57" x14ac:dyDescent="0.25">
      <c r="B25" s="78" t="str">
        <f t="shared" si="4"/>
        <v>IRadio</v>
      </c>
      <c r="C25" s="79">
        <f>IF(ISTEXT(D25),MAX($C$4:$C23)+1,"")</f>
        <v>20</v>
      </c>
      <c r="D25" s="80" t="s">
        <v>41</v>
      </c>
      <c r="E25" s="301" t="s">
        <v>542</v>
      </c>
      <c r="F25" s="293" t="s">
        <v>43</v>
      </c>
      <c r="G25" s="73"/>
      <c r="H25" s="302"/>
      <c r="I25" s="82">
        <f t="shared" si="2"/>
        <v>0</v>
      </c>
      <c r="J25" s="83">
        <f t="shared" si="3"/>
        <v>0</v>
      </c>
      <c r="K25" s="84">
        <f t="shared" si="0"/>
        <v>0</v>
      </c>
      <c r="L25" s="85"/>
    </row>
    <row r="26" spans="2:12" ht="30" customHeight="1" x14ac:dyDescent="0.25">
      <c r="B26" s="78" t="str">
        <f t="shared" si="4"/>
        <v>IRadio</v>
      </c>
      <c r="C26" s="79">
        <f>IF(ISTEXT(D26),MAX($C$4:$C25)+1,"")</f>
        <v>21</v>
      </c>
      <c r="D26" s="80" t="s">
        <v>41</v>
      </c>
      <c r="E26" s="138" t="s">
        <v>415</v>
      </c>
      <c r="F26" s="293" t="s">
        <v>43</v>
      </c>
      <c r="G26" s="295"/>
      <c r="H26" s="296"/>
      <c r="I26" s="297">
        <f t="shared" si="2"/>
        <v>0</v>
      </c>
      <c r="J26" s="298">
        <f t="shared" si="3"/>
        <v>0</v>
      </c>
      <c r="K26" s="84">
        <f t="shared" si="0"/>
        <v>0</v>
      </c>
      <c r="L26" s="85"/>
    </row>
    <row r="27" spans="2:12" ht="30" customHeight="1" x14ac:dyDescent="0.25">
      <c r="B27" s="124" t="str">
        <f t="shared" si="4"/>
        <v/>
      </c>
      <c r="C27" s="125" t="str">
        <f>IF(ISTEXT(D27),MAX($C$6:$C26)+1,"")</f>
        <v/>
      </c>
      <c r="D27" s="126"/>
      <c r="E27" s="205" t="s">
        <v>416</v>
      </c>
      <c r="F27" s="128"/>
      <c r="G27" s="129"/>
      <c r="H27" s="129"/>
      <c r="I27" s="129"/>
      <c r="J27" s="129"/>
      <c r="K27" s="129"/>
      <c r="L27" s="129"/>
    </row>
    <row r="28" spans="2:12" ht="30" customHeight="1" x14ac:dyDescent="0.25">
      <c r="B28" s="78" t="str">
        <f t="shared" si="4"/>
        <v>IRadio</v>
      </c>
      <c r="C28" s="79">
        <f>IF(ISTEXT(D28),MAX($C$4:$C26)+1,"")</f>
        <v>22</v>
      </c>
      <c r="D28" s="80" t="s">
        <v>10</v>
      </c>
      <c r="E28" s="210" t="s">
        <v>602</v>
      </c>
      <c r="F28" s="223" t="s">
        <v>43</v>
      </c>
      <c r="G28" s="233"/>
      <c r="H28" s="255"/>
      <c r="I28" s="226">
        <f t="shared" si="2"/>
        <v>2</v>
      </c>
      <c r="J28" s="227">
        <f t="shared" si="3"/>
        <v>0</v>
      </c>
      <c r="K28" s="228">
        <f t="shared" si="0"/>
        <v>0</v>
      </c>
      <c r="L28" s="20"/>
    </row>
    <row r="29" spans="2:12" ht="30" customHeight="1" x14ac:dyDescent="0.25">
      <c r="B29" s="78" t="str">
        <f t="shared" si="4"/>
        <v>IRadio</v>
      </c>
      <c r="C29" s="79">
        <f>IF(ISTEXT(D29),MAX($C$4:$C28)+1,"")</f>
        <v>23</v>
      </c>
      <c r="D29" s="80" t="s">
        <v>10</v>
      </c>
      <c r="E29" s="206" t="s">
        <v>606</v>
      </c>
      <c r="F29" s="223" t="s">
        <v>43</v>
      </c>
      <c r="G29" s="224"/>
      <c r="H29" s="231"/>
      <c r="I29" s="235">
        <f t="shared" si="2"/>
        <v>2</v>
      </c>
      <c r="J29" s="236">
        <f t="shared" si="3"/>
        <v>0</v>
      </c>
      <c r="K29" s="228">
        <f t="shared" si="0"/>
        <v>0</v>
      </c>
      <c r="L29" s="20"/>
    </row>
    <row r="30" spans="2:12" ht="30" customHeight="1" x14ac:dyDescent="0.25">
      <c r="B30" s="78" t="str">
        <f t="shared" si="4"/>
        <v>IRadio</v>
      </c>
      <c r="C30" s="79">
        <f>IF(ISTEXT(D30),MAX($C$4:$C29)+1,"")</f>
        <v>24</v>
      </c>
      <c r="D30" s="80" t="s">
        <v>10</v>
      </c>
      <c r="E30" s="206" t="s">
        <v>417</v>
      </c>
      <c r="F30" s="223" t="s">
        <v>43</v>
      </c>
      <c r="G30" s="224"/>
      <c r="H30" s="231"/>
      <c r="I30" s="235">
        <f t="shared" si="2"/>
        <v>2</v>
      </c>
      <c r="J30" s="236">
        <f t="shared" si="3"/>
        <v>0</v>
      </c>
      <c r="K30" s="228">
        <f t="shared" si="0"/>
        <v>0</v>
      </c>
      <c r="L30" s="20"/>
    </row>
    <row r="31" spans="2:12" ht="30" customHeight="1" x14ac:dyDescent="0.25">
      <c r="B31" s="78" t="str">
        <f t="shared" si="4"/>
        <v>IRadio</v>
      </c>
      <c r="C31" s="79">
        <f>IF(ISTEXT(D31),MAX($C$4:$C30)+1,"")</f>
        <v>25</v>
      </c>
      <c r="D31" s="80" t="s">
        <v>10</v>
      </c>
      <c r="E31" s="206" t="s">
        <v>418</v>
      </c>
      <c r="F31" s="223" t="s">
        <v>43</v>
      </c>
      <c r="G31" s="224"/>
      <c r="H31" s="231"/>
      <c r="I31" s="235">
        <f t="shared" si="2"/>
        <v>2</v>
      </c>
      <c r="J31" s="236">
        <f t="shared" si="3"/>
        <v>0</v>
      </c>
      <c r="K31" s="228">
        <f t="shared" si="0"/>
        <v>0</v>
      </c>
      <c r="L31" s="20"/>
    </row>
    <row r="32" spans="2:12" ht="30" customHeight="1" x14ac:dyDescent="0.25">
      <c r="B32" s="78" t="str">
        <f t="shared" si="4"/>
        <v>IRadio</v>
      </c>
      <c r="C32" s="79">
        <f>IF(ISTEXT(D32),MAX($C$4:$C31)+1,"")</f>
        <v>26</v>
      </c>
      <c r="D32" s="80" t="s">
        <v>10</v>
      </c>
      <c r="E32" s="206" t="s">
        <v>419</v>
      </c>
      <c r="F32" s="223" t="s">
        <v>43</v>
      </c>
      <c r="G32" s="224"/>
      <c r="H32" s="231"/>
      <c r="I32" s="235">
        <f t="shared" si="2"/>
        <v>2</v>
      </c>
      <c r="J32" s="236">
        <f t="shared" si="3"/>
        <v>0</v>
      </c>
      <c r="K32" s="228">
        <f t="shared" si="0"/>
        <v>0</v>
      </c>
      <c r="L32" s="20"/>
    </row>
    <row r="33" spans="2:12" ht="30" customHeight="1" x14ac:dyDescent="0.25">
      <c r="B33" s="78" t="str">
        <f t="shared" si="4"/>
        <v>IRadio</v>
      </c>
      <c r="C33" s="79">
        <f>IF(ISTEXT(D33),MAX($C$4:$C32)+1,"")</f>
        <v>27</v>
      </c>
      <c r="D33" s="80" t="s">
        <v>10</v>
      </c>
      <c r="E33" s="206" t="s">
        <v>607</v>
      </c>
      <c r="F33" s="223" t="s">
        <v>43</v>
      </c>
      <c r="G33" s="224"/>
      <c r="H33" s="231"/>
      <c r="I33" s="235">
        <f t="shared" si="2"/>
        <v>2</v>
      </c>
      <c r="J33" s="236">
        <f t="shared" si="3"/>
        <v>0</v>
      </c>
      <c r="K33" s="228">
        <f t="shared" si="0"/>
        <v>0</v>
      </c>
      <c r="L33" s="20"/>
    </row>
    <row r="34" spans="2:12" ht="30" customHeight="1" x14ac:dyDescent="0.25">
      <c r="B34" s="78" t="str">
        <f t="shared" si="4"/>
        <v>IRadio</v>
      </c>
      <c r="C34" s="79">
        <f>IF(ISTEXT(D34),MAX($C$4:$C33)+1,"")</f>
        <v>28</v>
      </c>
      <c r="D34" s="80" t="s">
        <v>10</v>
      </c>
      <c r="E34" s="206" t="s">
        <v>608</v>
      </c>
      <c r="F34" s="223" t="s">
        <v>43</v>
      </c>
      <c r="G34" s="224"/>
      <c r="H34" s="231"/>
      <c r="I34" s="235">
        <f t="shared" si="2"/>
        <v>2</v>
      </c>
      <c r="J34" s="236">
        <f t="shared" si="3"/>
        <v>0</v>
      </c>
      <c r="K34" s="228">
        <f t="shared" si="0"/>
        <v>0</v>
      </c>
      <c r="L34" s="20"/>
    </row>
    <row r="35" spans="2:12" ht="30" customHeight="1" x14ac:dyDescent="0.25">
      <c r="B35" s="78" t="str">
        <f t="shared" si="4"/>
        <v>IRadio</v>
      </c>
      <c r="C35" s="79">
        <f>IF(ISTEXT(D35),MAX($C$4:$C34)+1,"")</f>
        <v>29</v>
      </c>
      <c r="D35" s="80" t="s">
        <v>11</v>
      </c>
      <c r="E35" s="206" t="s">
        <v>609</v>
      </c>
      <c r="F35" s="223" t="s">
        <v>43</v>
      </c>
      <c r="G35" s="224"/>
      <c r="H35" s="231"/>
      <c r="I35" s="235">
        <f t="shared" si="2"/>
        <v>1</v>
      </c>
      <c r="J35" s="236">
        <f t="shared" si="3"/>
        <v>0</v>
      </c>
      <c r="K35" s="228">
        <f t="shared" si="0"/>
        <v>0</v>
      </c>
      <c r="L35" s="20"/>
    </row>
    <row r="36" spans="2:12" ht="30" customHeight="1" x14ac:dyDescent="0.25">
      <c r="B36" s="78" t="str">
        <f t="shared" si="4"/>
        <v>IRadio</v>
      </c>
      <c r="C36" s="79">
        <f>IF(ISTEXT(D36),MAX($C$4:$C35)+1,"")</f>
        <v>30</v>
      </c>
      <c r="D36" s="80" t="s">
        <v>11</v>
      </c>
      <c r="E36" s="206" t="s">
        <v>610</v>
      </c>
      <c r="F36" s="223" t="s">
        <v>43</v>
      </c>
      <c r="G36" s="224"/>
      <c r="H36" s="231"/>
      <c r="I36" s="235">
        <f t="shared" si="2"/>
        <v>1</v>
      </c>
      <c r="J36" s="236">
        <f t="shared" si="3"/>
        <v>0</v>
      </c>
      <c r="K36" s="228">
        <f t="shared" si="0"/>
        <v>0</v>
      </c>
      <c r="L36" s="20"/>
    </row>
    <row r="37" spans="2:12" ht="30" customHeight="1" x14ac:dyDescent="0.25">
      <c r="B37" s="78" t="str">
        <f t="shared" si="4"/>
        <v>IRadio</v>
      </c>
      <c r="C37" s="79">
        <f>IF(ISTEXT(D37),MAX($C$4:$C36)+1,"")</f>
        <v>31</v>
      </c>
      <c r="D37" s="80" t="s">
        <v>11</v>
      </c>
      <c r="E37" s="206" t="s">
        <v>611</v>
      </c>
      <c r="F37" s="223" t="s">
        <v>43</v>
      </c>
      <c r="G37" s="224"/>
      <c r="H37" s="231"/>
      <c r="I37" s="235">
        <f t="shared" si="2"/>
        <v>1</v>
      </c>
      <c r="J37" s="236">
        <f t="shared" si="3"/>
        <v>0</v>
      </c>
      <c r="K37" s="228">
        <f t="shared" si="0"/>
        <v>0</v>
      </c>
      <c r="L37" s="20"/>
    </row>
    <row r="38" spans="2:12" ht="30" customHeight="1" x14ac:dyDescent="0.25">
      <c r="B38" s="78" t="str">
        <f t="shared" si="4"/>
        <v>IRadio</v>
      </c>
      <c r="C38" s="79">
        <f>IF(ISTEXT(D38),MAX($C$4:$C37)+1,"")</f>
        <v>32</v>
      </c>
      <c r="D38" s="80" t="s">
        <v>11</v>
      </c>
      <c r="E38" s="206" t="s">
        <v>592</v>
      </c>
      <c r="F38" s="223" t="s">
        <v>43</v>
      </c>
      <c r="G38" s="224"/>
      <c r="H38" s="231"/>
      <c r="I38" s="235">
        <f t="shared" si="2"/>
        <v>1</v>
      </c>
      <c r="J38" s="236">
        <f t="shared" si="3"/>
        <v>0</v>
      </c>
      <c r="K38" s="228">
        <f t="shared" si="0"/>
        <v>0</v>
      </c>
      <c r="L38" s="20"/>
    </row>
    <row r="39" spans="2:12" ht="30" customHeight="1" x14ac:dyDescent="0.25">
      <c r="B39" s="78" t="str">
        <f t="shared" si="4"/>
        <v>IRadio</v>
      </c>
      <c r="C39" s="79">
        <f>IF(ISTEXT(D39),MAX($C$4:$C38)+1,"")</f>
        <v>33</v>
      </c>
      <c r="D39" s="80" t="s">
        <v>11</v>
      </c>
      <c r="E39" s="206" t="s">
        <v>612</v>
      </c>
      <c r="F39" s="223" t="s">
        <v>43</v>
      </c>
      <c r="G39" s="224"/>
      <c r="H39" s="231"/>
      <c r="I39" s="235">
        <f t="shared" si="2"/>
        <v>1</v>
      </c>
      <c r="J39" s="236">
        <f t="shared" si="3"/>
        <v>0</v>
      </c>
      <c r="K39" s="228">
        <f t="shared" si="0"/>
        <v>0</v>
      </c>
      <c r="L39" s="20"/>
    </row>
    <row r="40" spans="2:12" ht="30" customHeight="1" x14ac:dyDescent="0.25">
      <c r="B40" s="78" t="str">
        <f t="shared" si="4"/>
        <v>IRadio</v>
      </c>
      <c r="C40" s="79">
        <f>IF(ISTEXT(D40),MAX($C$4:$C39)+1,"")</f>
        <v>34</v>
      </c>
      <c r="D40" s="80" t="s">
        <v>11</v>
      </c>
      <c r="E40" s="206" t="s">
        <v>516</v>
      </c>
      <c r="F40" s="223" t="s">
        <v>43</v>
      </c>
      <c r="G40" s="224"/>
      <c r="H40" s="231"/>
      <c r="I40" s="235">
        <f t="shared" si="2"/>
        <v>1</v>
      </c>
      <c r="J40" s="236">
        <f t="shared" si="3"/>
        <v>0</v>
      </c>
      <c r="K40" s="228">
        <f t="shared" si="0"/>
        <v>0</v>
      </c>
      <c r="L40" s="20"/>
    </row>
    <row r="41" spans="2:12" ht="30" customHeight="1" x14ac:dyDescent="0.25">
      <c r="B41" s="78" t="str">
        <f t="shared" si="4"/>
        <v>IRadio</v>
      </c>
      <c r="C41" s="79">
        <f>IF(ISTEXT(D41),MAX($C$4:$C40)+1,"")</f>
        <v>35</v>
      </c>
      <c r="D41" s="80" t="s">
        <v>11</v>
      </c>
      <c r="E41" s="204" t="s">
        <v>420</v>
      </c>
      <c r="F41" s="223" t="s">
        <v>43</v>
      </c>
      <c r="G41" s="224"/>
      <c r="H41" s="231"/>
      <c r="I41" s="235">
        <f t="shared" si="2"/>
        <v>1</v>
      </c>
      <c r="J41" s="236">
        <f t="shared" si="3"/>
        <v>0</v>
      </c>
      <c r="K41" s="228">
        <f t="shared" si="0"/>
        <v>0</v>
      </c>
      <c r="L41" s="20"/>
    </row>
    <row r="42" spans="2:12" ht="30" customHeight="1" x14ac:dyDescent="0.25">
      <c r="B42" s="78" t="str">
        <f t="shared" si="4"/>
        <v>IRadio</v>
      </c>
      <c r="C42" s="79">
        <f>IF(ISTEXT(D42),MAX($C$4:$C41)+1,"")</f>
        <v>36</v>
      </c>
      <c r="D42" s="80" t="s">
        <v>11</v>
      </c>
      <c r="E42" s="204" t="s">
        <v>421</v>
      </c>
      <c r="F42" s="223" t="s">
        <v>43</v>
      </c>
      <c r="G42" s="224"/>
      <c r="H42" s="231"/>
      <c r="I42" s="235">
        <f t="shared" si="2"/>
        <v>1</v>
      </c>
      <c r="J42" s="236">
        <f t="shared" si="3"/>
        <v>0</v>
      </c>
      <c r="K42" s="228">
        <f t="shared" si="0"/>
        <v>0</v>
      </c>
      <c r="L42" s="20"/>
    </row>
    <row r="43" spans="2:12" ht="30" customHeight="1" x14ac:dyDescent="0.25">
      <c r="B43" s="78" t="str">
        <f t="shared" si="4"/>
        <v>IRadio</v>
      </c>
      <c r="C43" s="79">
        <f>IF(ISTEXT(D43),MAX($C$4:$C42)+1,"")</f>
        <v>37</v>
      </c>
      <c r="D43" s="80" t="s">
        <v>11</v>
      </c>
      <c r="E43" s="204" t="s">
        <v>719</v>
      </c>
      <c r="F43" s="223" t="s">
        <v>43</v>
      </c>
      <c r="G43" s="224"/>
      <c r="H43" s="231"/>
      <c r="I43" s="235">
        <f t="shared" si="2"/>
        <v>1</v>
      </c>
      <c r="J43" s="236">
        <f t="shared" si="3"/>
        <v>0</v>
      </c>
      <c r="K43" s="228">
        <f t="shared" si="0"/>
        <v>0</v>
      </c>
      <c r="L43" s="20"/>
    </row>
    <row r="44" spans="2:12" ht="30" customHeight="1" x14ac:dyDescent="0.25">
      <c r="B44" s="78" t="str">
        <f t="shared" si="4"/>
        <v>IRadio</v>
      </c>
      <c r="C44" s="79">
        <f>IF(ISTEXT(D44),MAX($C$4:$C43)+1,"")</f>
        <v>38</v>
      </c>
      <c r="D44" s="80" t="s">
        <v>11</v>
      </c>
      <c r="E44" s="204" t="s">
        <v>422</v>
      </c>
      <c r="F44" s="237" t="s">
        <v>43</v>
      </c>
      <c r="G44" s="224"/>
      <c r="H44" s="231"/>
      <c r="I44" s="235">
        <f>VLOOKUP($D44,SpecData,2,FALSE)</f>
        <v>1</v>
      </c>
      <c r="J44" s="236">
        <f>VLOOKUP($F44,AvailabilityData,2,FALSE)</f>
        <v>0</v>
      </c>
      <c r="K44" s="228">
        <f t="shared" si="0"/>
        <v>0</v>
      </c>
      <c r="L44" s="20"/>
    </row>
    <row r="45" spans="2:12" ht="30" customHeight="1" x14ac:dyDescent="0.25">
      <c r="B45" s="78" t="str">
        <f t="shared" si="4"/>
        <v>IRadio</v>
      </c>
      <c r="C45" s="79">
        <f>IF(ISTEXT(D45),MAX($C$4:$C44)+1,"")</f>
        <v>39</v>
      </c>
      <c r="D45" s="80" t="s">
        <v>11</v>
      </c>
      <c r="E45" s="209" t="s">
        <v>720</v>
      </c>
      <c r="F45" s="223" t="s">
        <v>43</v>
      </c>
      <c r="G45" s="224"/>
      <c r="H45" s="231"/>
      <c r="I45" s="235">
        <f t="shared" si="2"/>
        <v>1</v>
      </c>
      <c r="J45" s="236">
        <f t="shared" si="3"/>
        <v>0</v>
      </c>
      <c r="K45" s="228">
        <f t="shared" si="0"/>
        <v>0</v>
      </c>
      <c r="L45" s="20"/>
    </row>
    <row r="46" spans="2:12" ht="30" customHeight="1" x14ac:dyDescent="0.25">
      <c r="B46" s="124" t="str">
        <f t="shared" ref="B46" si="5">IF(C46="","",$B$4)</f>
        <v/>
      </c>
      <c r="C46" s="125" t="str">
        <f>IF(ISTEXT(D46),MAX($C$6:$C45)+1,"")</f>
        <v/>
      </c>
      <c r="D46" s="126"/>
      <c r="E46" s="205" t="s">
        <v>423</v>
      </c>
      <c r="F46" s="128"/>
      <c r="G46" s="129"/>
      <c r="H46" s="129"/>
      <c r="I46" s="129"/>
      <c r="J46" s="129"/>
      <c r="K46" s="129"/>
      <c r="L46" s="129"/>
    </row>
    <row r="47" spans="2:12" ht="30" customHeight="1" x14ac:dyDescent="0.25">
      <c r="B47" s="78" t="str">
        <f t="shared" si="4"/>
        <v>IRadio</v>
      </c>
      <c r="C47" s="79">
        <f>IF(ISTEXT(D47),MAX($C$4:$C45)+1,"")</f>
        <v>40</v>
      </c>
      <c r="D47" s="80" t="s">
        <v>11</v>
      </c>
      <c r="E47" s="210" t="s">
        <v>613</v>
      </c>
      <c r="F47" s="237" t="s">
        <v>43</v>
      </c>
      <c r="G47" s="224"/>
      <c r="H47" s="231"/>
      <c r="I47" s="235">
        <f>VLOOKUP($D47,SpecData,2,FALSE)</f>
        <v>1</v>
      </c>
      <c r="J47" s="236">
        <f>VLOOKUP($F47,AvailabilityData,2,FALSE)</f>
        <v>0</v>
      </c>
      <c r="K47" s="228">
        <f t="shared" si="0"/>
        <v>0</v>
      </c>
      <c r="L47" s="20"/>
    </row>
    <row r="48" spans="2:12" ht="30" customHeight="1" x14ac:dyDescent="0.25">
      <c r="B48" s="152" t="str">
        <f t="shared" si="4"/>
        <v>IRadio</v>
      </c>
      <c r="C48" s="79">
        <f>IF(ISTEXT(D48),MAX($C$4:$C47)+1,"")</f>
        <v>41</v>
      </c>
      <c r="D48" s="80" t="s">
        <v>11</v>
      </c>
      <c r="E48" s="206" t="s">
        <v>614</v>
      </c>
      <c r="F48" s="270" t="s">
        <v>43</v>
      </c>
      <c r="G48" s="241"/>
      <c r="H48" s="242"/>
      <c r="I48" s="238">
        <f t="shared" si="2"/>
        <v>1</v>
      </c>
      <c r="J48" s="239">
        <f t="shared" si="3"/>
        <v>0</v>
      </c>
      <c r="K48" s="228">
        <f t="shared" si="0"/>
        <v>0</v>
      </c>
      <c r="L48" s="21"/>
    </row>
    <row r="49" spans="2:13" s="304" customFormat="1" ht="30" customHeight="1" x14ac:dyDescent="0.25">
      <c r="B49" s="179" t="str">
        <f t="shared" ref="B49:B57" si="6">IF(C49="","",$B$4)</f>
        <v>IRadio</v>
      </c>
      <c r="C49" s="179">
        <f>IF(ISTEXT(D49),MAX($C$4:$C48)+1,"")</f>
        <v>42</v>
      </c>
      <c r="D49" s="80" t="s">
        <v>11</v>
      </c>
      <c r="E49" s="206" t="s">
        <v>615</v>
      </c>
      <c r="F49" s="229" t="s">
        <v>43</v>
      </c>
      <c r="G49" s="224"/>
      <c r="H49" s="231"/>
      <c r="I49" s="235">
        <f t="shared" si="2"/>
        <v>1</v>
      </c>
      <c r="J49" s="236">
        <f t="shared" si="3"/>
        <v>0</v>
      </c>
      <c r="K49" s="228">
        <f t="shared" si="0"/>
        <v>0</v>
      </c>
      <c r="L49" s="306"/>
      <c r="M49" s="303"/>
    </row>
    <row r="50" spans="2:13" s="304" customFormat="1" ht="30" customHeight="1" x14ac:dyDescent="0.25">
      <c r="B50" s="179" t="str">
        <f t="shared" si="6"/>
        <v>IRadio</v>
      </c>
      <c r="C50" s="179">
        <f>IF(ISTEXT(D50),MAX($C$4:$C49)+1,"")</f>
        <v>43</v>
      </c>
      <c r="D50" s="80" t="s">
        <v>11</v>
      </c>
      <c r="E50" s="206" t="s">
        <v>616</v>
      </c>
      <c r="F50" s="229" t="s">
        <v>43</v>
      </c>
      <c r="G50" s="224"/>
      <c r="H50" s="231"/>
      <c r="I50" s="235">
        <f t="shared" si="2"/>
        <v>1</v>
      </c>
      <c r="J50" s="236">
        <f t="shared" si="3"/>
        <v>0</v>
      </c>
      <c r="K50" s="228">
        <f t="shared" si="0"/>
        <v>0</v>
      </c>
      <c r="L50" s="306"/>
      <c r="M50" s="303"/>
    </row>
    <row r="51" spans="2:13" s="304" customFormat="1" ht="30" customHeight="1" x14ac:dyDescent="0.25">
      <c r="B51" s="179" t="str">
        <f t="shared" si="6"/>
        <v>IRadio</v>
      </c>
      <c r="C51" s="179">
        <f>IF(ISTEXT(D51),MAX($C$4:$C50)+1,"")</f>
        <v>44</v>
      </c>
      <c r="D51" s="80" t="s">
        <v>11</v>
      </c>
      <c r="E51" s="206" t="s">
        <v>617</v>
      </c>
      <c r="F51" s="229" t="s">
        <v>43</v>
      </c>
      <c r="G51" s="224"/>
      <c r="H51" s="231"/>
      <c r="I51" s="235">
        <f t="shared" si="2"/>
        <v>1</v>
      </c>
      <c r="J51" s="236">
        <f t="shared" si="3"/>
        <v>0</v>
      </c>
      <c r="K51" s="228">
        <f t="shared" si="0"/>
        <v>0</v>
      </c>
      <c r="L51" s="306"/>
      <c r="M51" s="303"/>
    </row>
    <row r="52" spans="2:13" s="304" customFormat="1" ht="30" customHeight="1" x14ac:dyDescent="0.25">
      <c r="B52" s="179" t="str">
        <f t="shared" si="6"/>
        <v>IRadio</v>
      </c>
      <c r="C52" s="179">
        <f>IF(ISTEXT(D52),MAX($C$4:$C51)+1,"")</f>
        <v>45</v>
      </c>
      <c r="D52" s="80" t="s">
        <v>11</v>
      </c>
      <c r="E52" s="207" t="s">
        <v>424</v>
      </c>
      <c r="F52" s="229" t="s">
        <v>43</v>
      </c>
      <c r="G52" s="224"/>
      <c r="H52" s="231"/>
      <c r="I52" s="235">
        <f t="shared" si="2"/>
        <v>1</v>
      </c>
      <c r="J52" s="236">
        <f t="shared" si="3"/>
        <v>0</v>
      </c>
      <c r="K52" s="228">
        <f t="shared" si="0"/>
        <v>0</v>
      </c>
      <c r="L52" s="306"/>
      <c r="M52" s="303"/>
    </row>
    <row r="53" spans="2:13" s="304" customFormat="1" ht="30" customHeight="1" x14ac:dyDescent="0.25">
      <c r="B53" s="179" t="str">
        <f t="shared" si="6"/>
        <v>IRadio</v>
      </c>
      <c r="C53" s="179">
        <f>IF(ISTEXT(D53),MAX($C$4:$C52)+1,"")</f>
        <v>46</v>
      </c>
      <c r="D53" s="80" t="s">
        <v>11</v>
      </c>
      <c r="E53" s="207" t="s">
        <v>425</v>
      </c>
      <c r="F53" s="229" t="s">
        <v>43</v>
      </c>
      <c r="G53" s="224"/>
      <c r="H53" s="231"/>
      <c r="I53" s="235">
        <f t="shared" si="2"/>
        <v>1</v>
      </c>
      <c r="J53" s="236">
        <f t="shared" si="3"/>
        <v>0</v>
      </c>
      <c r="K53" s="228">
        <f t="shared" si="0"/>
        <v>0</v>
      </c>
      <c r="L53" s="306"/>
      <c r="M53" s="303"/>
    </row>
    <row r="54" spans="2:13" s="304" customFormat="1" ht="30" customHeight="1" x14ac:dyDescent="0.25">
      <c r="B54" s="179" t="str">
        <f t="shared" si="6"/>
        <v>IRadio</v>
      </c>
      <c r="C54" s="179">
        <f>IF(ISTEXT(D54),MAX($C$4:$C53)+1,"")</f>
        <v>47</v>
      </c>
      <c r="D54" s="80" t="s">
        <v>10</v>
      </c>
      <c r="E54" s="207" t="s">
        <v>426</v>
      </c>
      <c r="F54" s="229" t="s">
        <v>43</v>
      </c>
      <c r="G54" s="224"/>
      <c r="H54" s="231"/>
      <c r="I54" s="235">
        <f t="shared" si="2"/>
        <v>2</v>
      </c>
      <c r="J54" s="236">
        <f t="shared" si="3"/>
        <v>0</v>
      </c>
      <c r="K54" s="228">
        <f t="shared" si="0"/>
        <v>0</v>
      </c>
      <c r="L54" s="306"/>
      <c r="M54" s="303"/>
    </row>
    <row r="55" spans="2:13" s="304" customFormat="1" ht="30" customHeight="1" x14ac:dyDescent="0.25">
      <c r="B55" s="179" t="str">
        <f t="shared" si="6"/>
        <v>IRadio</v>
      </c>
      <c r="C55" s="179">
        <f>IF(ISTEXT(D55),MAX($C$4:$C54)+1,"")</f>
        <v>48</v>
      </c>
      <c r="D55" s="80" t="s">
        <v>11</v>
      </c>
      <c r="E55" s="204" t="s">
        <v>721</v>
      </c>
      <c r="F55" s="229" t="s">
        <v>43</v>
      </c>
      <c r="G55" s="224"/>
      <c r="H55" s="231"/>
      <c r="I55" s="235">
        <f t="shared" si="2"/>
        <v>1</v>
      </c>
      <c r="J55" s="236">
        <f t="shared" si="3"/>
        <v>0</v>
      </c>
      <c r="K55" s="228">
        <f t="shared" si="0"/>
        <v>0</v>
      </c>
      <c r="L55" s="20"/>
      <c r="M55" s="303"/>
    </row>
    <row r="56" spans="2:13" s="304" customFormat="1" ht="30" customHeight="1" x14ac:dyDescent="0.25">
      <c r="B56" s="179" t="str">
        <f t="shared" si="6"/>
        <v>IRadio</v>
      </c>
      <c r="C56" s="179">
        <f>IF(ISTEXT(D56),MAX($C$4:$C55)+1,"")</f>
        <v>49</v>
      </c>
      <c r="D56" s="80" t="s">
        <v>11</v>
      </c>
      <c r="E56" s="204" t="s">
        <v>722</v>
      </c>
      <c r="F56" s="229" t="s">
        <v>43</v>
      </c>
      <c r="G56" s="224"/>
      <c r="H56" s="231"/>
      <c r="I56" s="235">
        <f t="shared" si="2"/>
        <v>1</v>
      </c>
      <c r="J56" s="236">
        <f t="shared" si="3"/>
        <v>0</v>
      </c>
      <c r="K56" s="228">
        <f t="shared" si="0"/>
        <v>0</v>
      </c>
      <c r="L56" s="20"/>
      <c r="M56" s="303"/>
    </row>
    <row r="57" spans="2:13" s="304" customFormat="1" ht="30" customHeight="1" x14ac:dyDescent="0.25">
      <c r="B57" s="179" t="str">
        <f t="shared" si="6"/>
        <v>IRadio</v>
      </c>
      <c r="C57" s="179">
        <f>IF(ISTEXT(D57),MAX($C$4:$C56)+1,"")</f>
        <v>50</v>
      </c>
      <c r="D57" s="80" t="s">
        <v>11</v>
      </c>
      <c r="E57" s="204" t="s">
        <v>723</v>
      </c>
      <c r="F57" s="229" t="s">
        <v>43</v>
      </c>
      <c r="G57" s="224"/>
      <c r="H57" s="231"/>
      <c r="I57" s="235">
        <f t="shared" si="2"/>
        <v>1</v>
      </c>
      <c r="J57" s="236">
        <f t="shared" si="3"/>
        <v>0</v>
      </c>
      <c r="K57" s="228">
        <f t="shared" si="0"/>
        <v>0</v>
      </c>
      <c r="L57" s="20"/>
      <c r="M57" s="303"/>
    </row>
    <row r="58" spans="2:13" x14ac:dyDescent="0.25"/>
  </sheetData>
  <sheetProtection algorithmName="SHA-512" hashValue="TtpBHZA78qHmDKaDPKPWeBGlpEtwQN/3qfuD4eaXW+zOjTEe8Ud985jICwQ1Q8Ea1nx1ms/yNsJrP2nMnWz29A==" saltValue="yG5A5K3Fy146hclFJZrjiw==" spinCount="100000" sheet="1" selectLockedCells="1"/>
  <conditionalFormatting sqref="D4:D5 D7:D23 D25:D26">
    <cfRule type="cellIs" dxfId="50" priority="37" operator="equal">
      <formula>"Important"</formula>
    </cfRule>
    <cfRule type="cellIs" dxfId="49" priority="38" operator="equal">
      <formula>"Crucial"</formula>
    </cfRule>
    <cfRule type="cellIs" dxfId="48" priority="39" operator="equal">
      <formula>"N/A"</formula>
    </cfRule>
  </conditionalFormatting>
  <conditionalFormatting sqref="D28:D45">
    <cfRule type="cellIs" dxfId="47" priority="7" operator="equal">
      <formula>"Important"</formula>
    </cfRule>
    <cfRule type="cellIs" dxfId="46" priority="8" operator="equal">
      <formula>"Crucial"</formula>
    </cfRule>
    <cfRule type="cellIs" dxfId="45" priority="9" operator="equal">
      <formula>"N/A"</formula>
    </cfRule>
  </conditionalFormatting>
  <conditionalFormatting sqref="D47:D57">
    <cfRule type="cellIs" dxfId="44" priority="1" operator="equal">
      <formula>"Important"</formula>
    </cfRule>
    <cfRule type="cellIs" dxfId="43" priority="2" operator="equal">
      <formula>"Crucial"</formula>
    </cfRule>
    <cfRule type="cellIs" dxfId="42" priority="3" operator="equal">
      <formula>"N/A"</formula>
    </cfRule>
  </conditionalFormatting>
  <conditionalFormatting sqref="F4:F23">
    <cfRule type="cellIs" dxfId="41" priority="25" operator="equal">
      <formula>"Function Not Available"</formula>
    </cfRule>
    <cfRule type="cellIs" dxfId="40" priority="26" operator="equal">
      <formula>"Function Available"</formula>
    </cfRule>
    <cfRule type="cellIs" dxfId="39" priority="27" operator="equal">
      <formula>"Exception"</formula>
    </cfRule>
  </conditionalFormatting>
  <conditionalFormatting sqref="F25:F57">
    <cfRule type="cellIs" dxfId="38" priority="13" operator="equal">
      <formula>"Function Not Available"</formula>
    </cfRule>
    <cfRule type="cellIs" dxfId="37" priority="14" operator="equal">
      <formula>"Function Available"</formula>
    </cfRule>
    <cfRule type="cellIs" dxfId="36" priority="15" operator="equal">
      <formula>"Exception"</formula>
    </cfRule>
  </conditionalFormatting>
  <dataValidations count="3">
    <dataValidation type="list" allowBlank="1" showInputMessage="1" showErrorMessage="1" sqref="F4:F5" xr:uid="{00000000-0002-0000-1A00-000000000000}">
      <formula1>AvailabilityType</formula1>
    </dataValidation>
    <dataValidation type="list" allowBlank="1" showInputMessage="1" showErrorMessage="1" sqref="D28:D45 D4:D5 D7:D23 D25:D26 D47:D57" xr:uid="{00000000-0002-0000-1A00-000001000000}">
      <formula1>SpecType</formula1>
    </dataValidation>
    <dataValidation type="list" allowBlank="1" showInputMessage="1" showErrorMessage="1" errorTitle="Invalid specification type" error="Please enter a Specification type from the drop-down list." sqref="F7:F23 F25:F26 F28:F45 F47:F57" xr:uid="{00000000-0002-0000-1A00-000002000000}">
      <formula1>AvailabilityType</formula1>
    </dataValidation>
  </dataValidations>
  <pageMargins left="0.7" right="0.7" top="0.75" bottom="0.75" header="0.3" footer="0.3"/>
  <pageSetup scale="45" fitToHeight="0" orientation="portrait" r:id="rId1"/>
  <headerFooter>
    <oddHeader>&amp;CGCCDA
&amp;F&amp;R&amp;A</oddHeader>
    <oddFooter>&amp;LTSSI Consulting LLC, March 2026&amp;CPage &amp;P of &amp;N</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sheetPr>
  <dimension ref="A1:J200"/>
  <sheetViews>
    <sheetView showGridLines="0" topLeftCell="A11" zoomScale="80" zoomScaleNormal="80" zoomScalePageLayoutView="40" workbookViewId="0">
      <selection activeCell="C35" sqref="C16:C35"/>
    </sheetView>
  </sheetViews>
  <sheetFormatPr defaultColWidth="0" defaultRowHeight="15" zeroHeight="1" x14ac:dyDescent="0.25"/>
  <cols>
    <col min="1" max="1" width="1.28515625" customWidth="1"/>
    <col min="2" max="2" width="14.28515625" customWidth="1"/>
    <col min="3" max="3" width="64.5703125" customWidth="1"/>
    <col min="4" max="9" width="18.7109375" customWidth="1"/>
    <col min="10" max="10" width="0.7109375" customWidth="1"/>
    <col min="11" max="16384" width="9.28515625" hidden="1"/>
  </cols>
  <sheetData>
    <row r="1" spans="2:9" ht="3" customHeight="1" thickBot="1" x14ac:dyDescent="0.3"/>
    <row r="2" spans="2:9" ht="32.1" customHeight="1" thickBot="1" x14ac:dyDescent="0.3">
      <c r="B2" s="309" t="s">
        <v>0</v>
      </c>
      <c r="C2" s="310"/>
      <c r="D2" s="310"/>
      <c r="E2" s="310"/>
      <c r="F2" s="310"/>
      <c r="G2" s="310"/>
      <c r="H2" s="310"/>
      <c r="I2" s="310"/>
    </row>
    <row r="3" spans="2:9" ht="3.75" customHeight="1" x14ac:dyDescent="0.25">
      <c r="B3" s="16"/>
      <c r="C3" s="16"/>
      <c r="D3" s="16"/>
      <c r="E3" s="16"/>
      <c r="F3" s="16"/>
      <c r="G3" s="16"/>
      <c r="H3" s="16"/>
      <c r="I3" s="16"/>
    </row>
    <row r="4" spans="2:9" ht="22.15" customHeight="1" x14ac:dyDescent="0.25">
      <c r="B4" s="19" t="s">
        <v>1</v>
      </c>
      <c r="C4" s="13"/>
      <c r="D4" s="13"/>
      <c r="E4" s="13"/>
      <c r="F4" s="14"/>
      <c r="G4" s="19" t="s">
        <v>2</v>
      </c>
      <c r="H4" s="13"/>
      <c r="I4" s="14"/>
    </row>
    <row r="5" spans="2:9" ht="3.75" customHeight="1" thickBot="1" x14ac:dyDescent="0.3">
      <c r="B5" s="17"/>
      <c r="C5" s="17"/>
      <c r="D5" s="17"/>
      <c r="E5" s="17"/>
      <c r="F5" s="17"/>
      <c r="G5" s="17"/>
      <c r="H5" s="17"/>
      <c r="I5" s="17"/>
    </row>
    <row r="6" spans="2:9" ht="36.75" customHeight="1" thickBot="1" x14ac:dyDescent="0.3">
      <c r="B6" s="28" t="s">
        <v>3</v>
      </c>
      <c r="C6" s="29"/>
      <c r="D6" s="30"/>
      <c r="E6" s="31"/>
      <c r="F6" s="29"/>
      <c r="G6" s="32">
        <f>D12</f>
        <v>0</v>
      </c>
      <c r="H6" s="29"/>
      <c r="I6" s="30"/>
    </row>
    <row r="7" spans="2:9" ht="3.75" customHeight="1" x14ac:dyDescent="0.25">
      <c r="B7" s="16"/>
      <c r="C7" s="16"/>
      <c r="D7" s="16"/>
      <c r="E7" s="16"/>
      <c r="F7" s="16"/>
      <c r="G7" s="16"/>
      <c r="H7" s="16"/>
      <c r="I7" s="16"/>
    </row>
    <row r="8" spans="2:9" s="4" customFormat="1" ht="35.25" customHeight="1" x14ac:dyDescent="0.25">
      <c r="B8" s="5" t="s">
        <v>4</v>
      </c>
      <c r="C8" s="5" t="s">
        <v>5</v>
      </c>
      <c r="D8" s="5" t="s">
        <v>6</v>
      </c>
      <c r="E8" s="5" t="s">
        <v>7</v>
      </c>
      <c r="F8" s="5" t="s">
        <v>8</v>
      </c>
      <c r="G8" s="5" t="s">
        <v>9</v>
      </c>
      <c r="H8" s="5" t="s">
        <v>10</v>
      </c>
      <c r="I8" s="5" t="s">
        <v>11</v>
      </c>
    </row>
    <row r="9" spans="2:9" ht="20.100000000000001" customHeight="1" x14ac:dyDescent="0.25">
      <c r="B9" s="6" t="s">
        <v>12</v>
      </c>
      <c r="C9" s="6" t="s">
        <v>13</v>
      </c>
      <c r="D9" s="7">
        <f>(G9*3)+(H9*2)+(I9*1)</f>
        <v>986</v>
      </c>
      <c r="E9" s="7">
        <f>E15</f>
        <v>542</v>
      </c>
      <c r="F9" s="7">
        <f>F15</f>
        <v>542</v>
      </c>
      <c r="G9" s="7">
        <f>G15</f>
        <v>79</v>
      </c>
      <c r="H9" s="7">
        <f>H15</f>
        <v>290</v>
      </c>
      <c r="I9" s="7">
        <f>I15</f>
        <v>169</v>
      </c>
    </row>
    <row r="10" spans="2:9" ht="3.75" customHeight="1" x14ac:dyDescent="0.25">
      <c r="B10" s="18"/>
      <c r="C10" s="18"/>
      <c r="D10" s="18"/>
      <c r="E10" s="18"/>
      <c r="F10" s="18"/>
      <c r="G10" s="18"/>
      <c r="H10" s="18"/>
      <c r="I10" s="18"/>
    </row>
    <row r="11" spans="2:9" s="4" customFormat="1" ht="43.5" customHeight="1" x14ac:dyDescent="0.25">
      <c r="B11" s="5" t="s">
        <v>4</v>
      </c>
      <c r="C11" s="5" t="s">
        <v>5</v>
      </c>
      <c r="D11" s="5" t="s">
        <v>14</v>
      </c>
      <c r="E11" s="5" t="s">
        <v>7</v>
      </c>
      <c r="F11" s="5" t="s">
        <v>8</v>
      </c>
      <c r="G11" s="5" t="s">
        <v>15</v>
      </c>
      <c r="H11" s="5" t="s">
        <v>16</v>
      </c>
      <c r="I11" s="5" t="s">
        <v>17</v>
      </c>
    </row>
    <row r="12" spans="2:9" ht="20.100000000000001" customHeight="1" x14ac:dyDescent="0.25">
      <c r="B12" s="6" t="s">
        <v>12</v>
      </c>
      <c r="C12" s="6" t="s">
        <v>13</v>
      </c>
      <c r="D12" s="7">
        <f>D61+D84+D107</f>
        <v>0</v>
      </c>
      <c r="E12" s="7">
        <f>E38</f>
        <v>542</v>
      </c>
      <c r="F12" s="7">
        <f>F38</f>
        <v>542</v>
      </c>
      <c r="G12" s="7">
        <f>G38</f>
        <v>0</v>
      </c>
      <c r="H12" s="7">
        <f>H38</f>
        <v>0</v>
      </c>
      <c r="I12" s="7">
        <f>I38</f>
        <v>0</v>
      </c>
    </row>
    <row r="13" spans="2:9" ht="3.75" customHeight="1" x14ac:dyDescent="0.25">
      <c r="B13" s="18"/>
      <c r="C13" s="18"/>
      <c r="D13" s="18"/>
      <c r="E13" s="18"/>
      <c r="F13" s="18"/>
      <c r="G13" s="18"/>
      <c r="H13" s="18"/>
      <c r="I13" s="18"/>
    </row>
    <row r="14" spans="2:9" s="4" customFormat="1" ht="35.25" customHeight="1" x14ac:dyDescent="0.25">
      <c r="B14" s="5" t="s">
        <v>4</v>
      </c>
      <c r="C14" s="5" t="s">
        <v>5</v>
      </c>
      <c r="D14" s="5" t="s">
        <v>6</v>
      </c>
      <c r="E14" s="5" t="s">
        <v>7</v>
      </c>
      <c r="F14" s="5" t="s">
        <v>8</v>
      </c>
      <c r="G14" s="5" t="s">
        <v>9</v>
      </c>
      <c r="H14" s="5" t="s">
        <v>10</v>
      </c>
      <c r="I14" s="5" t="s">
        <v>11</v>
      </c>
    </row>
    <row r="15" spans="2:9" ht="20.100000000000001" customHeight="1" x14ac:dyDescent="0.25">
      <c r="B15" s="6" t="s">
        <v>18</v>
      </c>
      <c r="C15" s="7"/>
      <c r="D15" s="7">
        <f t="shared" ref="D15:I15" si="0">SUM(D16:D35)</f>
        <v>986</v>
      </c>
      <c r="E15" s="7">
        <f t="shared" si="0"/>
        <v>542</v>
      </c>
      <c r="F15" s="7">
        <f t="shared" si="0"/>
        <v>542</v>
      </c>
      <c r="G15" s="7">
        <f t="shared" si="0"/>
        <v>79</v>
      </c>
      <c r="H15" s="7">
        <f t="shared" si="0"/>
        <v>290</v>
      </c>
      <c r="I15" s="7">
        <f t="shared" si="0"/>
        <v>169</v>
      </c>
    </row>
    <row r="16" spans="2:9" ht="20.100000000000001" customHeight="1" x14ac:dyDescent="0.25">
      <c r="B16" s="6"/>
      <c r="C16" s="7" t="str">
        <f>'Support Data'!F5</f>
        <v>CAD Interface General Requirements</v>
      </c>
      <c r="D16" s="7">
        <f>(G16*3)+(H16*2)+(I16*1)</f>
        <v>84</v>
      </c>
      <c r="E16" s="7">
        <f>'General Interface'!H3</f>
        <v>42</v>
      </c>
      <c r="F16" s="7">
        <f>'General Interface'!H4</f>
        <v>42</v>
      </c>
      <c r="G16" s="7">
        <f>COUNTIF('General Interface'!$D:$D,"Crucial")</f>
        <v>16</v>
      </c>
      <c r="H16" s="7">
        <f>COUNTIF('General Interface'!$D:$D,"Important")</f>
        <v>12</v>
      </c>
      <c r="I16" s="7">
        <f>COUNTIF('General Interface'!$D:$D,"Minimal")</f>
        <v>12</v>
      </c>
    </row>
    <row r="17" spans="2:9" ht="20.100000000000001" customHeight="1" x14ac:dyDescent="0.25">
      <c r="B17" s="6"/>
      <c r="C17" s="7" t="str">
        <f>'Support Data'!F6</f>
        <v>CAD Interface Alarm Monitoring</v>
      </c>
      <c r="D17" s="7">
        <f t="shared" ref="D17:D35" si="1">(G17*3)+(H17*2)+(I17*1)</f>
        <v>18</v>
      </c>
      <c r="E17" s="7">
        <f>'Alarm Monitoring'!H3</f>
        <v>9</v>
      </c>
      <c r="F17" s="7">
        <f>'Alarm Monitoring'!H4</f>
        <v>9</v>
      </c>
      <c r="G17" s="7">
        <f>COUNTIF('Alarm Monitoring'!$D:$D,"Crucial")</f>
        <v>0</v>
      </c>
      <c r="H17" s="7">
        <f>COUNTIF('Alarm Monitoring'!$D:$D,"Important")</f>
        <v>9</v>
      </c>
      <c r="I17" s="7">
        <f>COUNTIF('Alarm Monitoring'!$D:$D,"Minimal")</f>
        <v>0</v>
      </c>
    </row>
    <row r="18" spans="2:9" ht="20.100000000000001" customHeight="1" x14ac:dyDescent="0.25">
      <c r="B18" s="6"/>
      <c r="C18" s="7" t="str">
        <f>'Support Data'!F7</f>
        <v>CAD Interface Alerting</v>
      </c>
      <c r="D18" s="7">
        <f t="shared" si="1"/>
        <v>58</v>
      </c>
      <c r="E18" s="7">
        <f>'Alerting Interface'!H3</f>
        <v>46</v>
      </c>
      <c r="F18" s="7">
        <f>'Alerting Interface'!H4</f>
        <v>46</v>
      </c>
      <c r="G18" s="7">
        <f>COUNTIF('Alerting Interface'!$D:$D,"Crucial")</f>
        <v>0</v>
      </c>
      <c r="H18" s="7">
        <f>COUNTIF('Alerting Interface'!$D:$D,"Important")</f>
        <v>12</v>
      </c>
      <c r="I18" s="7">
        <f>COUNTIF('Alerting Interface'!$D:$D,"Minimal")</f>
        <v>34</v>
      </c>
    </row>
    <row r="19" spans="2:9" ht="20.100000000000001" customHeight="1" x14ac:dyDescent="0.25">
      <c r="B19" s="6"/>
      <c r="C19" s="7" t="str">
        <f>'Support Data'!F8</f>
        <v>CAD Interface Alphanumeric / Text Paging</v>
      </c>
      <c r="D19" s="7">
        <f t="shared" si="1"/>
        <v>94</v>
      </c>
      <c r="E19" s="7">
        <f>'Alpha-Text Paging Interface'!H3</f>
        <v>47</v>
      </c>
      <c r="F19" s="7">
        <f>'Alpha-Text Paging Interface'!H4</f>
        <v>47</v>
      </c>
      <c r="G19" s="7">
        <f>COUNTIF('Alpha-Text Paging Interface'!$D:$D,"Crucial")</f>
        <v>11</v>
      </c>
      <c r="H19" s="7">
        <f>COUNTIF('Alpha-Text Paging Interface'!$D:$D,"Important")</f>
        <v>25</v>
      </c>
      <c r="I19" s="7">
        <f>COUNTIF('Alpha-Text Paging Interface'!$D:$D,"Minimal")</f>
        <v>11</v>
      </c>
    </row>
    <row r="20" spans="2:9" ht="20.100000000000001" customHeight="1" x14ac:dyDescent="0.25">
      <c r="B20" s="6"/>
      <c r="C20" s="7" t="str">
        <f>'Support Data'!F9</f>
        <v>CAD Interface AVL</v>
      </c>
      <c r="D20" s="7">
        <f t="shared" si="1"/>
        <v>64</v>
      </c>
      <c r="E20" s="7">
        <f>'AVL Interface'!H3</f>
        <v>28</v>
      </c>
      <c r="F20" s="7">
        <f>'AVL Interface'!H4</f>
        <v>28</v>
      </c>
      <c r="G20" s="7">
        <f>COUNTIF('AVL Interface'!$D:$D,"Crucial")</f>
        <v>8</v>
      </c>
      <c r="H20" s="7">
        <f>COUNTIF('AVL Interface'!$D:$D,"Important")</f>
        <v>20</v>
      </c>
      <c r="I20" s="7">
        <f>COUNTIF('AVL Interface'!$D:$D,"Minimal")</f>
        <v>0</v>
      </c>
    </row>
    <row r="21" spans="2:9" ht="20.100000000000001" customHeight="1" x14ac:dyDescent="0.25">
      <c r="B21" s="6"/>
      <c r="C21" s="7" t="str">
        <f>'Support Data'!F10</f>
        <v>CAD Interface CAD2CAD</v>
      </c>
      <c r="D21" s="7">
        <f t="shared" si="1"/>
        <v>64</v>
      </c>
      <c r="E21" s="7">
        <f>CAD2CAD!H3</f>
        <v>31</v>
      </c>
      <c r="F21" s="7">
        <f>CAD2CAD!H4</f>
        <v>31</v>
      </c>
      <c r="G21" s="7">
        <f>COUNTIF(CAD2CAD!$D:$D,"Crucial")</f>
        <v>6</v>
      </c>
      <c r="H21" s="7">
        <f>COUNTIF(CAD2CAD!$D:$D,"Important")</f>
        <v>21</v>
      </c>
      <c r="I21" s="7">
        <f>COUNTIF(CAD2CAD!$D:$D,"Minimal")</f>
        <v>4</v>
      </c>
    </row>
    <row r="22" spans="2:9" ht="20.100000000000001" customHeight="1" x14ac:dyDescent="0.25">
      <c r="B22" s="6"/>
      <c r="C22" s="7" t="str">
        <f>'Support Data'!F11</f>
        <v>CAD Dispatch Protocol Software</v>
      </c>
      <c r="D22" s="7">
        <f t="shared" si="1"/>
        <v>57</v>
      </c>
      <c r="E22" s="7">
        <f>'Dispatch Protocol Software'!H3</f>
        <v>43</v>
      </c>
      <c r="F22" s="7">
        <f>'Dispatch Protocol Software'!H4</f>
        <v>43</v>
      </c>
      <c r="G22" s="7">
        <f>COUNTIF('Dispatch Protocol Software'!$D:$D,"Crucial")</f>
        <v>1</v>
      </c>
      <c r="H22" s="7">
        <f>COUNTIF('Dispatch Protocol Software'!$D:$D,"Important")</f>
        <v>12</v>
      </c>
      <c r="I22" s="7">
        <f>COUNTIF('Dispatch Protocol Software'!$D:$D,"Minimal")</f>
        <v>30</v>
      </c>
    </row>
    <row r="23" spans="2:9" ht="20.100000000000001" customHeight="1" x14ac:dyDescent="0.25">
      <c r="B23" s="6"/>
      <c r="C23" s="7" t="str">
        <f>'Support Data'!F12</f>
        <v>CAD Interface E9-1-1</v>
      </c>
      <c r="D23" s="7">
        <f t="shared" si="1"/>
        <v>52</v>
      </c>
      <c r="E23" s="7">
        <f>'E9-1-1 Interface'!H3</f>
        <v>19</v>
      </c>
      <c r="F23" s="7">
        <f>'E9-1-1 Interface'!H4</f>
        <v>19</v>
      </c>
      <c r="G23" s="7">
        <f>COUNTIF('E9-1-1 Interface'!$D:$D,"Crucial")</f>
        <v>14</v>
      </c>
      <c r="H23" s="7">
        <f>COUNTIF('E9-1-1 Interface'!$D:$D,"Important")</f>
        <v>5</v>
      </c>
      <c r="I23" s="7">
        <f>COUNTIF('E9-1-1 Interface'!$D:$D,"Minimal")</f>
        <v>0</v>
      </c>
    </row>
    <row r="24" spans="2:9" ht="20.100000000000001" customHeight="1" x14ac:dyDescent="0.25">
      <c r="B24" s="6"/>
      <c r="C24" s="7" t="str">
        <f>'Support Data'!F13</f>
        <v>CAD Interface Emergency Notification System</v>
      </c>
      <c r="D24" s="7">
        <f t="shared" si="1"/>
        <v>22</v>
      </c>
      <c r="E24" s="7">
        <f>'Emergency Notification System'!H3</f>
        <v>11</v>
      </c>
      <c r="F24" s="7">
        <f>'Emergency Notification System'!H4</f>
        <v>11</v>
      </c>
      <c r="G24" s="7">
        <f>COUNTIF('Emergency Notification System'!$D:$D,"Crucial")</f>
        <v>0</v>
      </c>
      <c r="H24" s="7">
        <f>COUNTIF('Emergency Notification System'!$D:$D,"Important")</f>
        <v>11</v>
      </c>
      <c r="I24" s="7">
        <f>COUNTIF('Emergency Notification System'!$D:$D,"Minimal")</f>
        <v>0</v>
      </c>
    </row>
    <row r="25" spans="2:9" ht="20.100000000000001" customHeight="1" x14ac:dyDescent="0.25">
      <c r="B25" s="6"/>
      <c r="C25" s="7" t="str">
        <f>'Support Data'!F14</f>
        <v>CAD Interface Fire Records Management Software</v>
      </c>
      <c r="D25" s="7">
        <f t="shared" si="1"/>
        <v>38</v>
      </c>
      <c r="E25" s="7">
        <f>FRMS!H3</f>
        <v>23</v>
      </c>
      <c r="F25" s="7">
        <f>FRMS!H4</f>
        <v>23</v>
      </c>
      <c r="G25" s="7">
        <f>COUNTIF(FRMS!$D:$D,"Crucial")</f>
        <v>0</v>
      </c>
      <c r="H25" s="7">
        <f>COUNTIF(FRMS!$D:$D,"Important")</f>
        <v>15</v>
      </c>
      <c r="I25" s="7">
        <f>COUNTIF(FRMS!$D:$D,"Minimal")</f>
        <v>8</v>
      </c>
    </row>
    <row r="26" spans="2:9" ht="20.100000000000001" customHeight="1" x14ac:dyDescent="0.25">
      <c r="B26" s="6"/>
      <c r="C26" s="7" t="str">
        <f>'Support Data'!F15</f>
        <v>CAD Interface Hazardous Materials</v>
      </c>
      <c r="D26" s="7">
        <f t="shared" si="1"/>
        <v>56</v>
      </c>
      <c r="E26" s="7">
        <f>'Hazardous Materials'!H3</f>
        <v>31</v>
      </c>
      <c r="F26" s="7">
        <f>'Hazardous Materials'!H4</f>
        <v>31</v>
      </c>
      <c r="G26" s="7">
        <f>COUNTIF('Hazardous Materials'!$D:$D,"Crucial")</f>
        <v>0</v>
      </c>
      <c r="H26" s="7">
        <f>COUNTIF('Hazardous Materials'!$D:$D,"Important")</f>
        <v>25</v>
      </c>
      <c r="I26" s="7">
        <f>COUNTIF('Hazardous Materials'!$D:$D,"Minimal")</f>
        <v>6</v>
      </c>
    </row>
    <row r="27" spans="2:9" ht="20.100000000000001" customHeight="1" x14ac:dyDescent="0.25">
      <c r="B27" s="6"/>
      <c r="C27" s="7" t="str">
        <f>'Support Data'!F16</f>
        <v>CAD Interface Logging Recorder</v>
      </c>
      <c r="D27" s="7">
        <f t="shared" si="1"/>
        <v>12</v>
      </c>
      <c r="E27" s="7">
        <f>'Logging Recorder'!H3</f>
        <v>6</v>
      </c>
      <c r="F27" s="7">
        <f>'Logging Recorder'!H4</f>
        <v>6</v>
      </c>
      <c r="G27" s="7">
        <f>COUNTIF('Logging Recorder'!$D:$D,"Crucial")</f>
        <v>2</v>
      </c>
      <c r="H27" s="7">
        <f>COUNTIF('Logging Recorder'!$D:$D,"Important")</f>
        <v>2</v>
      </c>
      <c r="I27" s="7">
        <f>COUNTIF('Logging Recorder'!$D:$D,"Minimal")</f>
        <v>2</v>
      </c>
    </row>
    <row r="28" spans="2:9" ht="20.100000000000001" customHeight="1" x14ac:dyDescent="0.25">
      <c r="B28" s="6"/>
      <c r="C28" s="7" t="str">
        <f>'Support Data'!F17</f>
        <v>CAD Interface NextGen 911</v>
      </c>
      <c r="D28" s="7">
        <f t="shared" si="1"/>
        <v>36</v>
      </c>
      <c r="E28" s="7">
        <f>NextGen!H3</f>
        <v>18</v>
      </c>
      <c r="F28" s="7">
        <f>NextGen!H4</f>
        <v>18</v>
      </c>
      <c r="G28" s="7">
        <f>COUNTIF(NextGen!$D:$D,"Crucial")</f>
        <v>0</v>
      </c>
      <c r="H28" s="7">
        <f>COUNTIF(NextGen!$D:$D,"Important")</f>
        <v>18</v>
      </c>
      <c r="I28" s="7">
        <f>COUNTIF(NextGen!$D:$D,"Minimal")</f>
        <v>0</v>
      </c>
    </row>
    <row r="29" spans="2:9" ht="20.100000000000001" customHeight="1" x14ac:dyDescent="0.25">
      <c r="B29" s="6"/>
      <c r="C29" s="7" t="str">
        <f>'Support Data'!F18</f>
        <v>CAD Interface PSAP Master Clock</v>
      </c>
      <c r="D29" s="7">
        <f t="shared" si="1"/>
        <v>23</v>
      </c>
      <c r="E29" s="7">
        <f>'PSAP Master Clock'!H3</f>
        <v>12</v>
      </c>
      <c r="F29" s="7">
        <f>'PSAP Master Clock'!H4</f>
        <v>12</v>
      </c>
      <c r="G29" s="7">
        <f>COUNTIF('PSAP Master Clock'!$D:$D,"Crucial")</f>
        <v>1</v>
      </c>
      <c r="H29" s="7">
        <f>COUNTIF('PSAP Master Clock'!$D:$D,"Important")</f>
        <v>9</v>
      </c>
      <c r="I29" s="7">
        <f>COUNTIF('PSAP Master Clock'!$D:$D,"Minimal")</f>
        <v>2</v>
      </c>
    </row>
    <row r="30" spans="2:9" ht="20.100000000000001" customHeight="1" x14ac:dyDescent="0.25">
      <c r="B30" s="6"/>
      <c r="C30" s="7" t="str">
        <f>'Support Data'!F19</f>
        <v>CAD Interface Pictometry</v>
      </c>
      <c r="D30" s="7">
        <f t="shared" si="1"/>
        <v>19</v>
      </c>
      <c r="E30" s="7">
        <f>Pictometry!H3</f>
        <v>9</v>
      </c>
      <c r="F30" s="7">
        <f>Pictometry!H4</f>
        <v>9</v>
      </c>
      <c r="G30" s="7">
        <f>COUNTIF(Pictometry!$D:$D,"Crucial")</f>
        <v>1</v>
      </c>
      <c r="H30" s="7">
        <f>COUNTIF(Pictometry!$D:$D,"Important")</f>
        <v>8</v>
      </c>
      <c r="I30" s="7">
        <f>COUNTIF(Pictometry!$D:$D,"Minimal")</f>
        <v>0</v>
      </c>
    </row>
    <row r="31" spans="2:9" ht="20.100000000000001" customHeight="1" x14ac:dyDescent="0.25">
      <c r="B31" s="6"/>
      <c r="C31" s="7" t="str">
        <f>'Support Data'!F20</f>
        <v>CAD Interface Radio System</v>
      </c>
      <c r="D31" s="7">
        <f t="shared" si="1"/>
        <v>64</v>
      </c>
      <c r="E31" s="7">
        <f>'Radio System'!H3</f>
        <v>50</v>
      </c>
      <c r="F31" s="7">
        <f>'Radio System'!H4</f>
        <v>50</v>
      </c>
      <c r="G31" s="7">
        <f>COUNTIF('Radio System'!$D:$D,"Crucial")</f>
        <v>0</v>
      </c>
      <c r="H31" s="7">
        <f>COUNTIF('Radio System'!$D:$D,"Important")</f>
        <v>16</v>
      </c>
      <c r="I31" s="7">
        <f>COUNTIF('Radio System'!$D:$D,"Minimal")</f>
        <v>32</v>
      </c>
    </row>
    <row r="32" spans="2:9" ht="20.100000000000001" customHeight="1" x14ac:dyDescent="0.25">
      <c r="B32" s="6"/>
      <c r="C32" s="7" t="str">
        <f>'Support Data'!F21</f>
        <v>CAD Interface LERMS</v>
      </c>
      <c r="D32" s="7">
        <f t="shared" si="1"/>
        <v>32</v>
      </c>
      <c r="E32" s="7">
        <f>LERMS!H3</f>
        <v>18</v>
      </c>
      <c r="F32" s="7">
        <f>LERMS!H4</f>
        <v>18</v>
      </c>
      <c r="G32" s="7">
        <f>COUNTIF(LERMS!$D:$D,"Crucial")</f>
        <v>1</v>
      </c>
      <c r="H32" s="7">
        <f>COUNTIF(LERMS!$D:$D,"Important")</f>
        <v>12</v>
      </c>
      <c r="I32" s="7">
        <f>COUNTIF(LERMS!$D:$D,"Minimal")</f>
        <v>5</v>
      </c>
    </row>
    <row r="33" spans="2:9" ht="20.100000000000001" customHeight="1" x14ac:dyDescent="0.25">
      <c r="B33" s="6"/>
      <c r="C33" s="7" t="str">
        <f>'Support Data'!F22</f>
        <v>CAD Interface LE State / NCIC</v>
      </c>
      <c r="D33" s="7">
        <f t="shared" si="1"/>
        <v>102</v>
      </c>
      <c r="E33" s="7">
        <f>'State NCIC Interface'!H3</f>
        <v>51</v>
      </c>
      <c r="F33" s="7">
        <f>'State NCIC Interface'!H4</f>
        <v>51</v>
      </c>
      <c r="G33" s="7">
        <f>COUNTIF('State NCIC Interface'!$D:$D,"Crucial")</f>
        <v>14</v>
      </c>
      <c r="H33" s="7">
        <f>COUNTIF('State NCIC Interface'!$D:$D,"Important")</f>
        <v>23</v>
      </c>
      <c r="I33" s="7">
        <f>COUNTIF('State NCIC Interface'!$D:$D,"Minimal")</f>
        <v>14</v>
      </c>
    </row>
    <row r="34" spans="2:9" ht="20.100000000000001" customHeight="1" x14ac:dyDescent="0.25">
      <c r="B34" s="6"/>
      <c r="C34" s="7" t="str">
        <f>'Support Data'!F23</f>
        <v>CAD Interface TDD / TDY</v>
      </c>
      <c r="D34" s="7">
        <f t="shared" si="1"/>
        <v>17</v>
      </c>
      <c r="E34" s="7">
        <f>'TDD-TTY'!H3</f>
        <v>9</v>
      </c>
      <c r="F34" s="7">
        <f>'TDD-TTY'!H4</f>
        <v>9</v>
      </c>
      <c r="G34" s="7">
        <f>COUNTIF('TDD-TTY'!$D:$D,"Crucial")</f>
        <v>2</v>
      </c>
      <c r="H34" s="7">
        <f>COUNTIF('TDD-TTY'!$D:$D,"Important")</f>
        <v>4</v>
      </c>
      <c r="I34" s="7">
        <f>COUNTIF('TDD-TTY'!$D:$D,"Minimal")</f>
        <v>3</v>
      </c>
    </row>
    <row r="35" spans="2:9" ht="20.100000000000001" customHeight="1" x14ac:dyDescent="0.25">
      <c r="B35" s="6"/>
      <c r="C35" s="7" t="str">
        <f>'Support Data'!F24</f>
        <v>CAD Interface Web CAD</v>
      </c>
      <c r="D35" s="7">
        <f t="shared" si="1"/>
        <v>74</v>
      </c>
      <c r="E35" s="7">
        <f>'Web CAD Interface'!H3</f>
        <v>39</v>
      </c>
      <c r="F35" s="7">
        <f>'Web CAD Interface'!H4</f>
        <v>39</v>
      </c>
      <c r="G35" s="7">
        <f>COUNTIF('Web CAD Interface'!$D:$D,"Crucial")</f>
        <v>2</v>
      </c>
      <c r="H35" s="7">
        <f>COUNTIF('Web CAD Interface'!$D:$D,"Important")</f>
        <v>31</v>
      </c>
      <c r="I35" s="7">
        <f>COUNTIF('Web CAD Interface'!$D:$D,"Minimal")</f>
        <v>6</v>
      </c>
    </row>
    <row r="36" spans="2:9" ht="3.75" customHeight="1" x14ac:dyDescent="0.25">
      <c r="B36" s="18"/>
      <c r="C36" s="7"/>
      <c r="D36" s="18"/>
      <c r="E36" s="18"/>
      <c r="F36" s="18"/>
      <c r="G36" s="18"/>
      <c r="H36" s="18"/>
      <c r="I36" s="18"/>
    </row>
    <row r="37" spans="2:9" s="4" customFormat="1" ht="43.5" customHeight="1" x14ac:dyDescent="0.25">
      <c r="B37" s="5" t="s">
        <v>4</v>
      </c>
      <c r="C37" s="5" t="s">
        <v>5</v>
      </c>
      <c r="D37" s="5" t="s">
        <v>14</v>
      </c>
      <c r="E37" s="5" t="s">
        <v>7</v>
      </c>
      <c r="F37" s="5" t="s">
        <v>8</v>
      </c>
      <c r="G37" s="5" t="s">
        <v>15</v>
      </c>
      <c r="H37" s="5" t="s">
        <v>16</v>
      </c>
      <c r="I37" s="5" t="s">
        <v>17</v>
      </c>
    </row>
    <row r="38" spans="2:9" ht="20.100000000000001" customHeight="1" x14ac:dyDescent="0.25">
      <c r="B38" s="6" t="str">
        <f>B15</f>
        <v>INTERFACES</v>
      </c>
      <c r="C38" s="7"/>
      <c r="D38" s="7">
        <f t="shared" ref="D38:I38" si="2">SUM(D39:D58)</f>
        <v>0</v>
      </c>
      <c r="E38" s="7">
        <f t="shared" si="2"/>
        <v>542</v>
      </c>
      <c r="F38" s="7">
        <f t="shared" si="2"/>
        <v>542</v>
      </c>
      <c r="G38" s="7">
        <f t="shared" si="2"/>
        <v>0</v>
      </c>
      <c r="H38" s="7">
        <f t="shared" si="2"/>
        <v>0</v>
      </c>
      <c r="I38" s="7">
        <f t="shared" si="2"/>
        <v>0</v>
      </c>
    </row>
    <row r="39" spans="2:9" ht="20.100000000000001" customHeight="1" x14ac:dyDescent="0.25">
      <c r="B39" s="6"/>
      <c r="C39" s="7" t="str">
        <f t="shared" ref="C39:C58" si="3">C16</f>
        <v>CAD Interface General Requirements</v>
      </c>
      <c r="D39" s="7">
        <f>'General Interface'!K3</f>
        <v>0</v>
      </c>
      <c r="E39" s="7">
        <f>'General Interface'!H3</f>
        <v>42</v>
      </c>
      <c r="F39" s="7">
        <f>'General Interface'!H4</f>
        <v>42</v>
      </c>
      <c r="G39" s="7">
        <f>'General Interface'!H5</f>
        <v>0</v>
      </c>
      <c r="H39" s="7">
        <f>'General Interface'!H6</f>
        <v>0</v>
      </c>
      <c r="I39" s="7">
        <f>'General Interface'!$H7</f>
        <v>0</v>
      </c>
    </row>
    <row r="40" spans="2:9" ht="20.100000000000001" customHeight="1" x14ac:dyDescent="0.25">
      <c r="B40" s="6"/>
      <c r="C40" s="7" t="str">
        <f t="shared" si="3"/>
        <v>CAD Interface Alarm Monitoring</v>
      </c>
      <c r="D40" s="7">
        <f>'Alarm Monitoring'!K3</f>
        <v>0</v>
      </c>
      <c r="E40" s="7">
        <f>'Alarm Monitoring'!H3</f>
        <v>9</v>
      </c>
      <c r="F40" s="7">
        <f>'Alarm Monitoring'!H4</f>
        <v>9</v>
      </c>
      <c r="G40" s="7">
        <f>'Alarm Monitoring'!H5</f>
        <v>0</v>
      </c>
      <c r="H40" s="7">
        <f>'Alarm Monitoring'!H6</f>
        <v>0</v>
      </c>
      <c r="I40" s="7">
        <f>'Alarm Monitoring'!H7</f>
        <v>0</v>
      </c>
    </row>
    <row r="41" spans="2:9" ht="20.100000000000001" customHeight="1" x14ac:dyDescent="0.25">
      <c r="B41" s="6"/>
      <c r="C41" s="7" t="str">
        <f t="shared" si="3"/>
        <v>CAD Interface Alerting</v>
      </c>
      <c r="D41" s="7">
        <f>'Alerting Interface'!K3</f>
        <v>0</v>
      </c>
      <c r="E41" s="7">
        <f>'Alerting Interface'!H3</f>
        <v>46</v>
      </c>
      <c r="F41" s="7">
        <f>'Alerting Interface'!H4</f>
        <v>46</v>
      </c>
      <c r="G41" s="7">
        <f>'Alerting Interface'!H6</f>
        <v>0</v>
      </c>
      <c r="H41" s="7">
        <f>'Alerting Interface'!H7</f>
        <v>0</v>
      </c>
      <c r="I41" s="7">
        <f>'Alerting Interface'!H8</f>
        <v>0</v>
      </c>
    </row>
    <row r="42" spans="2:9" ht="20.100000000000001" customHeight="1" x14ac:dyDescent="0.25">
      <c r="B42" s="6"/>
      <c r="C42" s="7" t="str">
        <f t="shared" si="3"/>
        <v>CAD Interface Alphanumeric / Text Paging</v>
      </c>
      <c r="D42" s="7">
        <f>'Alpha-Text Paging Interface'!K3</f>
        <v>0</v>
      </c>
      <c r="E42" s="7">
        <f>'Alpha-Text Paging Interface'!H3</f>
        <v>47</v>
      </c>
      <c r="F42" s="7">
        <f>'Alpha-Text Paging Interface'!H4</f>
        <v>47</v>
      </c>
      <c r="G42" s="7">
        <f>'Alpha-Text Paging Interface'!H5</f>
        <v>0</v>
      </c>
      <c r="H42" s="7">
        <f>'Alpha-Text Paging Interface'!H7</f>
        <v>0</v>
      </c>
      <c r="I42" s="7">
        <f>'Alpha-Text Paging Interface'!H8</f>
        <v>0</v>
      </c>
    </row>
    <row r="43" spans="2:9" ht="20.100000000000001" customHeight="1" x14ac:dyDescent="0.25">
      <c r="B43" s="6"/>
      <c r="C43" s="7" t="str">
        <f t="shared" si="3"/>
        <v>CAD Interface AVL</v>
      </c>
      <c r="D43" s="7">
        <f>'AVL Interface'!K3</f>
        <v>0</v>
      </c>
      <c r="E43" s="7">
        <f>'AVL Interface'!H3</f>
        <v>28</v>
      </c>
      <c r="F43" s="7">
        <f>'AVL Interface'!H4</f>
        <v>28</v>
      </c>
      <c r="G43" s="7">
        <f>'AVL Interface'!H5</f>
        <v>0</v>
      </c>
      <c r="H43" s="7">
        <f>'AVL Interface'!H6</f>
        <v>0</v>
      </c>
      <c r="I43" s="7">
        <f>'AVL Interface'!H7</f>
        <v>0</v>
      </c>
    </row>
    <row r="44" spans="2:9" ht="20.100000000000001" customHeight="1" x14ac:dyDescent="0.25">
      <c r="B44" s="6"/>
      <c r="C44" s="7" t="str">
        <f t="shared" si="3"/>
        <v>CAD Interface CAD2CAD</v>
      </c>
      <c r="D44" s="7">
        <f>CAD2CAD!K3</f>
        <v>0</v>
      </c>
      <c r="E44" s="7">
        <f>CAD2CAD!H3</f>
        <v>31</v>
      </c>
      <c r="F44" s="7">
        <f>CAD2CAD!H4</f>
        <v>31</v>
      </c>
      <c r="G44" s="7">
        <f>CAD2CAD!H6</f>
        <v>0</v>
      </c>
      <c r="H44" s="7">
        <f>CAD2CAD!H8</f>
        <v>0</v>
      </c>
      <c r="I44" s="7">
        <f>CAD2CAD!H9</f>
        <v>0</v>
      </c>
    </row>
    <row r="45" spans="2:9" ht="19.149999999999999" customHeight="1" x14ac:dyDescent="0.25">
      <c r="B45" s="6"/>
      <c r="C45" s="7" t="str">
        <f t="shared" si="3"/>
        <v>CAD Dispatch Protocol Software</v>
      </c>
      <c r="D45" s="7">
        <f>'Dispatch Protocol Software'!K3</f>
        <v>0</v>
      </c>
      <c r="E45" s="7">
        <f>'Dispatch Protocol Software'!H3</f>
        <v>43</v>
      </c>
      <c r="F45" s="7">
        <f>'Dispatch Protocol Software'!H4</f>
        <v>43</v>
      </c>
      <c r="G45" s="7">
        <f>'Dispatch Protocol Software'!H5</f>
        <v>0</v>
      </c>
      <c r="H45" s="7">
        <f>'Dispatch Protocol Software'!H6</f>
        <v>0</v>
      </c>
      <c r="I45" s="7">
        <f>'Dispatch Protocol Software'!H8</f>
        <v>0</v>
      </c>
    </row>
    <row r="46" spans="2:9" ht="19.149999999999999" customHeight="1" x14ac:dyDescent="0.25">
      <c r="B46" s="6"/>
      <c r="C46" s="7" t="str">
        <f t="shared" si="3"/>
        <v>CAD Interface E9-1-1</v>
      </c>
      <c r="D46" s="7">
        <f>'E9-1-1 Interface'!K3</f>
        <v>0</v>
      </c>
      <c r="E46" s="7">
        <f>'E9-1-1 Interface'!H3</f>
        <v>19</v>
      </c>
      <c r="F46" s="7">
        <f>'E9-1-1 Interface'!H4</f>
        <v>19</v>
      </c>
      <c r="G46" s="7">
        <f>'E9-1-1 Interface'!H5</f>
        <v>0</v>
      </c>
      <c r="H46" s="7">
        <f>'E9-1-1 Interface'!H6</f>
        <v>0</v>
      </c>
      <c r="I46" s="7">
        <f>'E9-1-1 Interface'!H7</f>
        <v>0</v>
      </c>
    </row>
    <row r="47" spans="2:9" ht="19.149999999999999" customHeight="1" x14ac:dyDescent="0.25">
      <c r="B47" s="6"/>
      <c r="C47" s="7" t="str">
        <f t="shared" si="3"/>
        <v>CAD Interface Emergency Notification System</v>
      </c>
      <c r="D47" s="7">
        <f>'Emergency Notification System'!K3</f>
        <v>0</v>
      </c>
      <c r="E47" s="7">
        <f>'Emergency Notification System'!H3</f>
        <v>11</v>
      </c>
      <c r="F47" s="7">
        <f>'Emergency Notification System'!H4</f>
        <v>11</v>
      </c>
      <c r="G47" s="7">
        <f>'Emergency Notification System'!H5</f>
        <v>0</v>
      </c>
      <c r="H47" s="7">
        <f>'Emergency Notification System'!H7</f>
        <v>0</v>
      </c>
      <c r="I47" s="7">
        <f>'Emergency Notification System'!H8</f>
        <v>0</v>
      </c>
    </row>
    <row r="48" spans="2:9" ht="19.149999999999999" customHeight="1" x14ac:dyDescent="0.25">
      <c r="B48" s="6"/>
      <c r="C48" s="7" t="str">
        <f t="shared" si="3"/>
        <v>CAD Interface Fire Records Management Software</v>
      </c>
      <c r="D48" s="7">
        <f>FRMS!K3</f>
        <v>0</v>
      </c>
      <c r="E48" s="7">
        <f>FRMS!H3</f>
        <v>23</v>
      </c>
      <c r="F48" s="7">
        <f>FRMS!H4</f>
        <v>23</v>
      </c>
      <c r="G48" s="7">
        <f>FRMS!H5</f>
        <v>0</v>
      </c>
      <c r="H48" s="7">
        <f>FRMS!H6</f>
        <v>0</v>
      </c>
      <c r="I48" s="7">
        <f>FRMS!H7</f>
        <v>0</v>
      </c>
    </row>
    <row r="49" spans="2:9" ht="19.149999999999999" customHeight="1" x14ac:dyDescent="0.25">
      <c r="B49" s="6"/>
      <c r="C49" s="7" t="str">
        <f t="shared" si="3"/>
        <v>CAD Interface Hazardous Materials</v>
      </c>
      <c r="D49" s="7">
        <f>'Hazardous Materials'!K3</f>
        <v>0</v>
      </c>
      <c r="E49" s="7">
        <f>'Hazardous Materials'!H3</f>
        <v>31</v>
      </c>
      <c r="F49" s="7">
        <f>'Hazardous Materials'!H4</f>
        <v>31</v>
      </c>
      <c r="G49" s="7">
        <f>'Hazardous Materials'!H5</f>
        <v>0</v>
      </c>
      <c r="H49" s="7">
        <f>'Hazardous Materials'!H6</f>
        <v>0</v>
      </c>
      <c r="I49" s="7">
        <f>'Hazardous Materials'!H8</f>
        <v>0</v>
      </c>
    </row>
    <row r="50" spans="2:9" ht="19.149999999999999" customHeight="1" x14ac:dyDescent="0.25">
      <c r="B50" s="6"/>
      <c r="C50" s="7" t="str">
        <f t="shared" si="3"/>
        <v>CAD Interface Logging Recorder</v>
      </c>
      <c r="D50" s="7">
        <f>'Logging Recorder'!K3</f>
        <v>0</v>
      </c>
      <c r="E50" s="7">
        <f>'Logging Recorder'!H3</f>
        <v>6</v>
      </c>
      <c r="F50" s="7">
        <f>'Logging Recorder'!H4</f>
        <v>6</v>
      </c>
      <c r="G50" s="7">
        <f>'Logging Recorder'!H5</f>
        <v>0</v>
      </c>
      <c r="H50" s="7">
        <f>'Logging Recorder'!H6</f>
        <v>0</v>
      </c>
      <c r="I50" s="7">
        <f>'Logging Recorder'!H7</f>
        <v>0</v>
      </c>
    </row>
    <row r="51" spans="2:9" ht="19.149999999999999" customHeight="1" x14ac:dyDescent="0.25">
      <c r="B51" s="6"/>
      <c r="C51" s="7" t="str">
        <f t="shared" si="3"/>
        <v>CAD Interface NextGen 911</v>
      </c>
      <c r="D51" s="7">
        <f>NextGen!K3</f>
        <v>0</v>
      </c>
      <c r="E51" s="7">
        <f>NextGen!H3</f>
        <v>18</v>
      </c>
      <c r="F51" s="7">
        <f>NextGen!H4</f>
        <v>18</v>
      </c>
      <c r="G51" s="7">
        <f>NextGen!H5</f>
        <v>0</v>
      </c>
      <c r="H51" s="7">
        <f>NextGen!H6</f>
        <v>0</v>
      </c>
      <c r="I51" s="7">
        <f>NextGen!H7</f>
        <v>0</v>
      </c>
    </row>
    <row r="52" spans="2:9" ht="19.149999999999999" customHeight="1" x14ac:dyDescent="0.25">
      <c r="B52" s="6"/>
      <c r="C52" s="7" t="str">
        <f t="shared" si="3"/>
        <v>CAD Interface PSAP Master Clock</v>
      </c>
      <c r="D52" s="7">
        <f>'PSAP Master Clock'!K3</f>
        <v>0</v>
      </c>
      <c r="E52" s="7">
        <f>'PSAP Master Clock'!H3</f>
        <v>12</v>
      </c>
      <c r="F52" s="7">
        <f>'PSAP Master Clock'!H4</f>
        <v>12</v>
      </c>
      <c r="G52" s="7">
        <f>'PSAP Master Clock'!H5</f>
        <v>0</v>
      </c>
      <c r="H52" s="7">
        <f>'PSAP Master Clock'!H6</f>
        <v>0</v>
      </c>
      <c r="I52" s="7">
        <f>'PSAP Master Clock'!H7</f>
        <v>0</v>
      </c>
    </row>
    <row r="53" spans="2:9" ht="19.149999999999999" customHeight="1" x14ac:dyDescent="0.25">
      <c r="B53" s="6"/>
      <c r="C53" s="7" t="str">
        <f t="shared" si="3"/>
        <v>CAD Interface Pictometry</v>
      </c>
      <c r="D53" s="7">
        <f>Pictometry!K3</f>
        <v>0</v>
      </c>
      <c r="E53" s="7">
        <f>Pictometry!H3</f>
        <v>9</v>
      </c>
      <c r="F53" s="7">
        <f>Pictometry!H4</f>
        <v>9</v>
      </c>
      <c r="G53" s="7">
        <f>Pictometry!H5</f>
        <v>0</v>
      </c>
      <c r="H53" s="7">
        <f>Pictometry!H6</f>
        <v>0</v>
      </c>
      <c r="I53" s="7">
        <f>Pictometry!H7</f>
        <v>0</v>
      </c>
    </row>
    <row r="54" spans="2:9" ht="19.149999999999999" customHeight="1" x14ac:dyDescent="0.25">
      <c r="B54" s="6"/>
      <c r="C54" s="7" t="str">
        <f t="shared" si="3"/>
        <v>CAD Interface Radio System</v>
      </c>
      <c r="D54" s="7">
        <f>'Radio System'!K3</f>
        <v>0</v>
      </c>
      <c r="E54" s="7">
        <f>'Radio System'!H3</f>
        <v>50</v>
      </c>
      <c r="F54" s="7">
        <f>'Radio System'!H4</f>
        <v>50</v>
      </c>
      <c r="G54" s="7">
        <f>'Radio System'!H5</f>
        <v>0</v>
      </c>
      <c r="H54" s="7">
        <f>'Radio System'!H7</f>
        <v>0</v>
      </c>
      <c r="I54" s="7">
        <f>'Radio System'!H8</f>
        <v>0</v>
      </c>
    </row>
    <row r="55" spans="2:9" ht="19.149999999999999" customHeight="1" x14ac:dyDescent="0.25">
      <c r="B55" s="6"/>
      <c r="C55" s="7" t="str">
        <f t="shared" si="3"/>
        <v>CAD Interface LERMS</v>
      </c>
      <c r="D55" s="7">
        <f>LERMS!K3</f>
        <v>0</v>
      </c>
      <c r="E55" s="7">
        <f>LERMS!H3</f>
        <v>18</v>
      </c>
      <c r="F55" s="7">
        <f>LERMS!H4</f>
        <v>18</v>
      </c>
      <c r="G55" s="7">
        <f>LERMS!H5</f>
        <v>0</v>
      </c>
      <c r="H55" s="7">
        <f>LERMS!H6</f>
        <v>0</v>
      </c>
      <c r="I55" s="7">
        <f>LERMS!H7</f>
        <v>0</v>
      </c>
    </row>
    <row r="56" spans="2:9" ht="19.149999999999999" customHeight="1" x14ac:dyDescent="0.25">
      <c r="B56" s="6"/>
      <c r="C56" s="7" t="str">
        <f t="shared" si="3"/>
        <v>CAD Interface LE State / NCIC</v>
      </c>
      <c r="D56" s="7">
        <f>'State NCIC Interface'!K3</f>
        <v>0</v>
      </c>
      <c r="E56" s="7">
        <f>'State NCIC Interface'!H3</f>
        <v>51</v>
      </c>
      <c r="F56" s="7">
        <f>'State NCIC Interface'!H4</f>
        <v>51</v>
      </c>
      <c r="G56" s="7">
        <f>'State NCIC Interface'!H5</f>
        <v>0</v>
      </c>
      <c r="H56" s="7">
        <f>'State NCIC Interface'!H6</f>
        <v>0</v>
      </c>
      <c r="I56" s="7">
        <f>'State NCIC Interface'!H7</f>
        <v>0</v>
      </c>
    </row>
    <row r="57" spans="2:9" ht="19.149999999999999" customHeight="1" x14ac:dyDescent="0.25">
      <c r="B57" s="6"/>
      <c r="C57" s="7" t="str">
        <f t="shared" si="3"/>
        <v>CAD Interface TDD / TDY</v>
      </c>
      <c r="D57" s="7">
        <f>'TDD-TTY'!K3</f>
        <v>0</v>
      </c>
      <c r="E57" s="7">
        <f>'TDD-TTY'!H3</f>
        <v>9</v>
      </c>
      <c r="F57" s="7">
        <f>'TDD-TTY'!H4</f>
        <v>9</v>
      </c>
      <c r="G57" s="7">
        <f>'TDD-TTY'!H5</f>
        <v>0</v>
      </c>
      <c r="H57" s="7">
        <f>'TDD-TTY'!H6</f>
        <v>0</v>
      </c>
      <c r="I57" s="7">
        <f>'TDD-TTY'!H7</f>
        <v>0</v>
      </c>
    </row>
    <row r="58" spans="2:9" ht="19.149999999999999" customHeight="1" x14ac:dyDescent="0.25">
      <c r="B58" s="6"/>
      <c r="C58" s="7" t="str">
        <f t="shared" si="3"/>
        <v>CAD Interface Web CAD</v>
      </c>
      <c r="D58" s="7">
        <f>'Web CAD Interface'!K3</f>
        <v>0</v>
      </c>
      <c r="E58" s="7">
        <f>'Web CAD Interface'!H3</f>
        <v>39</v>
      </c>
      <c r="F58" s="7">
        <f>'Web CAD Interface'!H4</f>
        <v>39</v>
      </c>
      <c r="G58" s="7">
        <f>'Web CAD Interface'!H5</f>
        <v>0</v>
      </c>
      <c r="H58" s="7">
        <f>'Web CAD Interface'!H6</f>
        <v>0</v>
      </c>
      <c r="I58" s="7">
        <f>'Web CAD Interface'!H7</f>
        <v>0</v>
      </c>
    </row>
    <row r="59" spans="2:9" ht="3.75" customHeight="1" x14ac:dyDescent="0.25">
      <c r="B59" s="18"/>
      <c r="C59" s="18"/>
      <c r="D59" s="18"/>
      <c r="E59" s="18"/>
      <c r="F59" s="18"/>
      <c r="G59" s="18"/>
      <c r="H59" s="18"/>
      <c r="I59" s="18"/>
    </row>
    <row r="60" spans="2:9" s="4" customFormat="1" ht="43.5" customHeight="1" x14ac:dyDescent="0.25">
      <c r="B60" s="5" t="s">
        <v>4</v>
      </c>
      <c r="C60" s="5" t="s">
        <v>5</v>
      </c>
      <c r="D60" s="5" t="s">
        <v>14</v>
      </c>
      <c r="E60" s="5" t="s">
        <v>19</v>
      </c>
      <c r="F60" s="5" t="s">
        <v>20</v>
      </c>
      <c r="G60" s="5" t="s">
        <v>21</v>
      </c>
      <c r="H60" s="5" t="s">
        <v>22</v>
      </c>
      <c r="I60" s="5" t="s">
        <v>23</v>
      </c>
    </row>
    <row r="61" spans="2:9" ht="20.100000000000001" customHeight="1" x14ac:dyDescent="0.25">
      <c r="B61" s="6" t="str">
        <f>B15</f>
        <v>INTERFACES</v>
      </c>
      <c r="C61" s="7"/>
      <c r="D61" s="7">
        <f t="shared" ref="D61:I61" si="4">SUM(D62:D81)</f>
        <v>0</v>
      </c>
      <c r="E61" s="7">
        <f t="shared" si="4"/>
        <v>79</v>
      </c>
      <c r="F61" s="7">
        <f t="shared" si="4"/>
        <v>79</v>
      </c>
      <c r="G61" s="7">
        <f t="shared" si="4"/>
        <v>0</v>
      </c>
      <c r="H61" s="7">
        <f t="shared" si="4"/>
        <v>0</v>
      </c>
      <c r="I61" s="7">
        <f t="shared" si="4"/>
        <v>0</v>
      </c>
    </row>
    <row r="62" spans="2:9" ht="20.100000000000001" customHeight="1" x14ac:dyDescent="0.25">
      <c r="B62" s="6"/>
      <c r="C62" s="7" t="str">
        <f t="shared" ref="C62:C81" si="5">C16</f>
        <v>CAD Interface General Requirements</v>
      </c>
      <c r="D62" s="7">
        <f>G62*3</f>
        <v>0</v>
      </c>
      <c r="E62" s="7">
        <f>COUNTIF('General Interface'!$D:$D,"Crucial")</f>
        <v>16</v>
      </c>
      <c r="F62" s="7">
        <f>'General Interface'!$H8</f>
        <v>16</v>
      </c>
      <c r="G62" s="7">
        <f>'General Interface'!H9</f>
        <v>0</v>
      </c>
      <c r="H62" s="7">
        <f>'General Interface'!H10</f>
        <v>0</v>
      </c>
      <c r="I62" s="7">
        <f>'General Interface'!H11</f>
        <v>0</v>
      </c>
    </row>
    <row r="63" spans="2:9" ht="20.100000000000001" customHeight="1" x14ac:dyDescent="0.25">
      <c r="B63" s="6"/>
      <c r="C63" s="7" t="str">
        <f t="shared" si="5"/>
        <v>CAD Interface Alarm Monitoring</v>
      </c>
      <c r="D63" s="7">
        <f t="shared" ref="D63:D81" si="6">G63*3</f>
        <v>0</v>
      </c>
      <c r="E63" s="7">
        <f>COUNTIF('Alarm Monitoring'!$D:$D,"Crucial")</f>
        <v>0</v>
      </c>
      <c r="F63" s="7">
        <f>'Alarm Monitoring'!H8</f>
        <v>0</v>
      </c>
      <c r="G63" s="7">
        <f>'Alarm Monitoring'!H9</f>
        <v>0</v>
      </c>
      <c r="H63" s="7">
        <f>'Alarm Monitoring'!H10</f>
        <v>0</v>
      </c>
      <c r="I63" s="7">
        <f>'Alarm Monitoring'!H11</f>
        <v>0</v>
      </c>
    </row>
    <row r="64" spans="2:9" ht="20.100000000000001" customHeight="1" x14ac:dyDescent="0.25">
      <c r="B64" s="6"/>
      <c r="C64" s="7" t="str">
        <f t="shared" si="5"/>
        <v>CAD Interface Alerting</v>
      </c>
      <c r="D64" s="7">
        <f t="shared" si="6"/>
        <v>0</v>
      </c>
      <c r="E64" s="7">
        <f>COUNTIF('Alerting Interface'!$D:$D,"Crucial")</f>
        <v>0</v>
      </c>
      <c r="F64" s="7">
        <f>'Alerting Interface'!H9</f>
        <v>0</v>
      </c>
      <c r="G64" s="7">
        <f>'Alerting Interface'!H10</f>
        <v>0</v>
      </c>
      <c r="H64" s="7">
        <f>'Alerting Interface'!H11</f>
        <v>0</v>
      </c>
      <c r="I64" s="7">
        <f>'Alerting Interface'!H12</f>
        <v>0</v>
      </c>
    </row>
    <row r="65" spans="2:9" ht="20.100000000000001" customHeight="1" x14ac:dyDescent="0.25">
      <c r="B65" s="6"/>
      <c r="C65" s="7" t="str">
        <f t="shared" si="5"/>
        <v>CAD Interface Alphanumeric / Text Paging</v>
      </c>
      <c r="D65" s="7">
        <f t="shared" si="6"/>
        <v>0</v>
      </c>
      <c r="E65" s="7">
        <f>COUNTIF('Alpha-Text Paging Interface'!$D:$D,"Crucial")</f>
        <v>11</v>
      </c>
      <c r="F65" s="7">
        <f>'Alpha-Text Paging Interface'!H9</f>
        <v>11</v>
      </c>
      <c r="G65" s="7">
        <f>'Alpha-Text Paging Interface'!H10</f>
        <v>0</v>
      </c>
      <c r="H65" s="7">
        <f>'Alpha-Text Paging Interface'!H11</f>
        <v>0</v>
      </c>
      <c r="I65" s="7">
        <f>'Alpha-Text Paging Interface'!H12</f>
        <v>0</v>
      </c>
    </row>
    <row r="66" spans="2:9" ht="20.100000000000001" customHeight="1" x14ac:dyDescent="0.25">
      <c r="B66" s="6"/>
      <c r="C66" s="7" t="str">
        <f t="shared" si="5"/>
        <v>CAD Interface AVL</v>
      </c>
      <c r="D66" s="7">
        <f t="shared" si="6"/>
        <v>0</v>
      </c>
      <c r="E66" s="7">
        <f>COUNTIF('AVL Interface'!$D:$D,"Crucial")</f>
        <v>8</v>
      </c>
      <c r="F66" s="7">
        <f>'AVL Interface'!H8</f>
        <v>8</v>
      </c>
      <c r="G66" s="7">
        <f>'AVL Interface'!H9</f>
        <v>0</v>
      </c>
      <c r="H66" s="7">
        <f>'AVL Interface'!H10</f>
        <v>0</v>
      </c>
      <c r="I66" s="7">
        <f>'AVL Interface'!H11</f>
        <v>0</v>
      </c>
    </row>
    <row r="67" spans="2:9" ht="20.100000000000001" customHeight="1" x14ac:dyDescent="0.25">
      <c r="B67" s="6"/>
      <c r="C67" s="7" t="str">
        <f t="shared" si="5"/>
        <v>CAD Interface CAD2CAD</v>
      </c>
      <c r="D67" s="7">
        <f t="shared" si="6"/>
        <v>0</v>
      </c>
      <c r="E67" s="7">
        <f>COUNTIF(CAD2CAD!$D:$D,"Crucial")</f>
        <v>6</v>
      </c>
      <c r="F67" s="7">
        <f>CAD2CAD!H10</f>
        <v>6</v>
      </c>
      <c r="G67" s="7">
        <f>CAD2CAD!H12</f>
        <v>0</v>
      </c>
      <c r="H67" s="7">
        <f>CAD2CAD!H13</f>
        <v>0</v>
      </c>
      <c r="I67" s="7">
        <f>CAD2CAD!H14</f>
        <v>0</v>
      </c>
    </row>
    <row r="68" spans="2:9" ht="20.100000000000001" customHeight="1" x14ac:dyDescent="0.25">
      <c r="B68" s="6"/>
      <c r="C68" s="7" t="str">
        <f t="shared" si="5"/>
        <v>CAD Dispatch Protocol Software</v>
      </c>
      <c r="D68" s="7">
        <f t="shared" si="6"/>
        <v>0</v>
      </c>
      <c r="E68" s="7">
        <f>COUNTIF('Dispatch Protocol Software'!$D:$D,"Crucial")</f>
        <v>1</v>
      </c>
      <c r="F68" s="7">
        <f>'Dispatch Protocol Software'!H9</f>
        <v>1</v>
      </c>
      <c r="G68" s="7">
        <f>'Dispatch Protocol Software'!H10</f>
        <v>0</v>
      </c>
      <c r="H68" s="7">
        <f>'Dispatch Protocol Software'!H11</f>
        <v>0</v>
      </c>
      <c r="I68" s="7">
        <f>'Dispatch Protocol Software'!H13</f>
        <v>0</v>
      </c>
    </row>
    <row r="69" spans="2:9" ht="20.100000000000001" customHeight="1" x14ac:dyDescent="0.25">
      <c r="B69" s="6"/>
      <c r="C69" s="7" t="str">
        <f t="shared" si="5"/>
        <v>CAD Interface E9-1-1</v>
      </c>
      <c r="D69" s="7">
        <f t="shared" si="6"/>
        <v>0</v>
      </c>
      <c r="E69" s="7">
        <f>COUNTIF('E9-1-1 Interface'!$D:$D,"Crucial")</f>
        <v>14</v>
      </c>
      <c r="F69" s="7">
        <f>'E9-1-1 Interface'!H8</f>
        <v>14</v>
      </c>
      <c r="G69" s="7">
        <f>'E9-1-1 Interface'!H9</f>
        <v>0</v>
      </c>
      <c r="H69" s="7">
        <f>'E9-1-1 Interface'!H10</f>
        <v>0</v>
      </c>
      <c r="I69" s="7">
        <f>'E9-1-1 Interface'!H12</f>
        <v>0</v>
      </c>
    </row>
    <row r="70" spans="2:9" ht="20.100000000000001" customHeight="1" x14ac:dyDescent="0.25">
      <c r="B70" s="6"/>
      <c r="C70" s="7" t="str">
        <f t="shared" si="5"/>
        <v>CAD Interface Emergency Notification System</v>
      </c>
      <c r="D70" s="7">
        <f t="shared" si="6"/>
        <v>0</v>
      </c>
      <c r="E70" s="7">
        <f>COUNTIF('Emergency Notification System'!$D:$D,"Crucial")</f>
        <v>0</v>
      </c>
      <c r="F70" s="7">
        <f>'Emergency Notification System'!H9</f>
        <v>0</v>
      </c>
      <c r="G70" s="7">
        <f>'Emergency Notification System'!H10</f>
        <v>0</v>
      </c>
      <c r="H70" s="7">
        <f>'Emergency Notification System'!H11</f>
        <v>0</v>
      </c>
      <c r="I70" s="7">
        <f>'Emergency Notification System'!H13</f>
        <v>0</v>
      </c>
    </row>
    <row r="71" spans="2:9" ht="19.149999999999999" customHeight="1" x14ac:dyDescent="0.25">
      <c r="B71" s="6"/>
      <c r="C71" s="7" t="str">
        <f t="shared" si="5"/>
        <v>CAD Interface Fire Records Management Software</v>
      </c>
      <c r="D71" s="7">
        <f t="shared" si="6"/>
        <v>0</v>
      </c>
      <c r="E71" s="7">
        <f>COUNTIF(FRMS!$D:$D,"Crucial")</f>
        <v>0</v>
      </c>
      <c r="F71" s="7">
        <f>FRMS!H8</f>
        <v>0</v>
      </c>
      <c r="G71" s="7">
        <f>FRMS!H9</f>
        <v>0</v>
      </c>
      <c r="H71" s="7">
        <f>FRMS!H10</f>
        <v>0</v>
      </c>
      <c r="I71" s="7">
        <f>FRMS!H11</f>
        <v>0</v>
      </c>
    </row>
    <row r="72" spans="2:9" ht="19.149999999999999" customHeight="1" x14ac:dyDescent="0.25">
      <c r="B72" s="6"/>
      <c r="C72" s="7" t="str">
        <f t="shared" si="5"/>
        <v>CAD Interface Hazardous Materials</v>
      </c>
      <c r="D72" s="7">
        <f t="shared" si="6"/>
        <v>0</v>
      </c>
      <c r="E72" s="7">
        <f>COUNTIF('Hazardous Materials'!$D:$D,"Crucial")</f>
        <v>0</v>
      </c>
      <c r="F72" s="7">
        <f>'Hazardous Materials'!H9</f>
        <v>0</v>
      </c>
      <c r="G72" s="7">
        <f>'Hazardous Materials'!H10</f>
        <v>0</v>
      </c>
      <c r="H72" s="7">
        <f>'Hazardous Materials'!H11</f>
        <v>0</v>
      </c>
      <c r="I72" s="7">
        <f>'Hazardous Materials'!H12</f>
        <v>0</v>
      </c>
    </row>
    <row r="73" spans="2:9" ht="20.100000000000001" customHeight="1" x14ac:dyDescent="0.25">
      <c r="B73" s="6"/>
      <c r="C73" s="7" t="str">
        <f t="shared" si="5"/>
        <v>CAD Interface Logging Recorder</v>
      </c>
      <c r="D73" s="7">
        <f t="shared" si="6"/>
        <v>0</v>
      </c>
      <c r="E73" s="7">
        <f>COUNTIF('Logging Recorder'!$D:$D,"Crucial")</f>
        <v>2</v>
      </c>
      <c r="F73" s="7">
        <f>'Logging Recorder'!H8</f>
        <v>2</v>
      </c>
      <c r="G73" s="7">
        <f>'Logging Recorder'!H9</f>
        <v>0</v>
      </c>
      <c r="H73" s="7">
        <f>'Logging Recorder'!H10</f>
        <v>0</v>
      </c>
      <c r="I73" s="7">
        <f>'Logging Recorder'!H11</f>
        <v>0</v>
      </c>
    </row>
    <row r="74" spans="2:9" ht="20.100000000000001" customHeight="1" x14ac:dyDescent="0.25">
      <c r="B74" s="6"/>
      <c r="C74" s="7" t="str">
        <f t="shared" si="5"/>
        <v>CAD Interface NextGen 911</v>
      </c>
      <c r="D74" s="7">
        <f t="shared" si="6"/>
        <v>0</v>
      </c>
      <c r="E74" s="7">
        <f>COUNTIF(NextGen!$D:$D,"Crucial")</f>
        <v>0</v>
      </c>
      <c r="F74" s="7">
        <f>NextGen!H8</f>
        <v>0</v>
      </c>
      <c r="G74" s="7">
        <f>NextGen!H9</f>
        <v>0</v>
      </c>
      <c r="H74" s="7">
        <f>NextGen!H10</f>
        <v>0</v>
      </c>
      <c r="I74" s="7">
        <f>NextGen!H11</f>
        <v>0</v>
      </c>
    </row>
    <row r="75" spans="2:9" ht="20.100000000000001" customHeight="1" x14ac:dyDescent="0.25">
      <c r="B75" s="6"/>
      <c r="C75" s="7" t="str">
        <f t="shared" si="5"/>
        <v>CAD Interface PSAP Master Clock</v>
      </c>
      <c r="D75" s="7">
        <f t="shared" si="6"/>
        <v>0</v>
      </c>
      <c r="E75" s="7">
        <f>COUNTIF('PSAP Master Clock'!$D:$D,"Crucial")</f>
        <v>1</v>
      </c>
      <c r="F75" s="7">
        <f>'PSAP Master Clock'!H8</f>
        <v>1</v>
      </c>
      <c r="G75" s="7">
        <f>'PSAP Master Clock'!H9</f>
        <v>0</v>
      </c>
      <c r="H75" s="7">
        <f>'PSAP Master Clock'!H10</f>
        <v>0</v>
      </c>
      <c r="I75" s="7">
        <f>'PSAP Master Clock'!H11</f>
        <v>0</v>
      </c>
    </row>
    <row r="76" spans="2:9" ht="20.100000000000001" customHeight="1" x14ac:dyDescent="0.25">
      <c r="B76" s="6"/>
      <c r="C76" s="7" t="str">
        <f t="shared" si="5"/>
        <v>CAD Interface Pictometry</v>
      </c>
      <c r="D76" s="7">
        <f t="shared" si="6"/>
        <v>0</v>
      </c>
      <c r="E76" s="7">
        <f>COUNTIF(Pictometry!$D:$D,"Crucial")</f>
        <v>1</v>
      </c>
      <c r="F76" s="7">
        <f>Pictometry!H8</f>
        <v>1</v>
      </c>
      <c r="G76" s="7">
        <f>Pictometry!H9</f>
        <v>0</v>
      </c>
      <c r="H76" s="7">
        <f>Pictometry!H10</f>
        <v>0</v>
      </c>
      <c r="I76" s="7">
        <f>Pictometry!H11</f>
        <v>0</v>
      </c>
    </row>
    <row r="77" spans="2:9" ht="20.100000000000001" customHeight="1" x14ac:dyDescent="0.25">
      <c r="B77" s="6"/>
      <c r="C77" s="7" t="str">
        <f t="shared" si="5"/>
        <v>CAD Interface Radio System</v>
      </c>
      <c r="D77" s="7">
        <f t="shared" si="6"/>
        <v>0</v>
      </c>
      <c r="E77" s="7">
        <f>COUNTIF('Radio System'!$D:$D,"Crucial")</f>
        <v>0</v>
      </c>
      <c r="F77" s="7">
        <f>'Radio System'!H9</f>
        <v>0</v>
      </c>
      <c r="G77" s="7">
        <f>'Radio System'!H10</f>
        <v>0</v>
      </c>
      <c r="H77" s="7">
        <f>'Radio System'!H11</f>
        <v>0</v>
      </c>
      <c r="I77" s="7">
        <f>'Radio System'!H12</f>
        <v>0</v>
      </c>
    </row>
    <row r="78" spans="2:9" ht="20.100000000000001" customHeight="1" x14ac:dyDescent="0.25">
      <c r="B78" s="6"/>
      <c r="C78" s="7" t="str">
        <f t="shared" si="5"/>
        <v>CAD Interface LERMS</v>
      </c>
      <c r="D78" s="7">
        <f t="shared" si="6"/>
        <v>0</v>
      </c>
      <c r="E78" s="7">
        <f>COUNTIF(LERMS!$D:$D,"Crucial")</f>
        <v>1</v>
      </c>
      <c r="F78" s="7">
        <f>LERMS!H8</f>
        <v>1</v>
      </c>
      <c r="G78" s="7">
        <f>LERMS!H9</f>
        <v>0</v>
      </c>
      <c r="H78" s="7">
        <f>LERMS!H10</f>
        <v>0</v>
      </c>
      <c r="I78" s="7">
        <f>LERMS!H11</f>
        <v>0</v>
      </c>
    </row>
    <row r="79" spans="2:9" ht="20.100000000000001" customHeight="1" x14ac:dyDescent="0.25">
      <c r="B79" s="6"/>
      <c r="C79" s="7" t="str">
        <f t="shared" si="5"/>
        <v>CAD Interface LE State / NCIC</v>
      </c>
      <c r="D79" s="7">
        <f t="shared" si="6"/>
        <v>0</v>
      </c>
      <c r="E79" s="7">
        <f>COUNTIF('State NCIC Interface'!$D:$D,"Crucial")</f>
        <v>14</v>
      </c>
      <c r="F79" s="7">
        <f>'State NCIC Interface'!H8</f>
        <v>14</v>
      </c>
      <c r="G79" s="7">
        <f>'State NCIC Interface'!H9</f>
        <v>0</v>
      </c>
      <c r="H79" s="7">
        <f>'State NCIC Interface'!H10</f>
        <v>0</v>
      </c>
      <c r="I79" s="7">
        <f>'State NCIC Interface'!H11</f>
        <v>0</v>
      </c>
    </row>
    <row r="80" spans="2:9" ht="20.100000000000001" customHeight="1" x14ac:dyDescent="0.25">
      <c r="B80" s="6"/>
      <c r="C80" s="7" t="str">
        <f t="shared" si="5"/>
        <v>CAD Interface TDD / TDY</v>
      </c>
      <c r="D80" s="7">
        <f t="shared" si="6"/>
        <v>0</v>
      </c>
      <c r="E80" s="7">
        <f>COUNTIF('TDD-TTY'!$D:$D,"Crucial")</f>
        <v>2</v>
      </c>
      <c r="F80" s="7">
        <f>'TDD-TTY'!H8</f>
        <v>2</v>
      </c>
      <c r="G80" s="7">
        <f>'TDD-TTY'!H9</f>
        <v>0</v>
      </c>
      <c r="H80" s="7">
        <f>'TDD-TTY'!H10</f>
        <v>0</v>
      </c>
      <c r="I80" s="7">
        <f>'TDD-TTY'!H12</f>
        <v>0</v>
      </c>
    </row>
    <row r="81" spans="2:9" ht="20.100000000000001" customHeight="1" x14ac:dyDescent="0.25">
      <c r="B81" s="6"/>
      <c r="C81" s="7" t="str">
        <f t="shared" si="5"/>
        <v>CAD Interface Web CAD</v>
      </c>
      <c r="D81" s="7">
        <f t="shared" si="6"/>
        <v>0</v>
      </c>
      <c r="E81" s="7">
        <f>COUNTIF('Web CAD Interface'!$D:$D,"Crucial")</f>
        <v>2</v>
      </c>
      <c r="F81" s="7">
        <f>'Web CAD Interface'!H8</f>
        <v>2</v>
      </c>
      <c r="G81" s="7">
        <f>'Web CAD Interface'!H9</f>
        <v>0</v>
      </c>
      <c r="H81" s="7">
        <f>'Web CAD Interface'!H10</f>
        <v>0</v>
      </c>
      <c r="I81" s="7">
        <f>'Web CAD Interface'!H11</f>
        <v>0</v>
      </c>
    </row>
    <row r="82" spans="2:9" ht="3.75" customHeight="1" x14ac:dyDescent="0.25">
      <c r="B82" s="18"/>
      <c r="C82" s="18"/>
      <c r="D82" s="18"/>
      <c r="E82" s="18"/>
      <c r="F82" s="18"/>
      <c r="G82" s="18"/>
      <c r="H82" s="18"/>
      <c r="I82" s="18"/>
    </row>
    <row r="83" spans="2:9" s="4" customFormat="1" ht="60" customHeight="1" x14ac:dyDescent="0.25">
      <c r="B83" s="5" t="s">
        <v>4</v>
      </c>
      <c r="C83" s="5" t="s">
        <v>5</v>
      </c>
      <c r="D83" s="5" t="s">
        <v>14</v>
      </c>
      <c r="E83" s="5" t="s">
        <v>24</v>
      </c>
      <c r="F83" s="5" t="s">
        <v>25</v>
      </c>
      <c r="G83" s="5" t="s">
        <v>26</v>
      </c>
      <c r="H83" s="5" t="s">
        <v>27</v>
      </c>
      <c r="I83" s="5" t="s">
        <v>28</v>
      </c>
    </row>
    <row r="84" spans="2:9" ht="20.100000000000001" customHeight="1" x14ac:dyDescent="0.25">
      <c r="B84" s="6" t="str">
        <f>B15</f>
        <v>INTERFACES</v>
      </c>
      <c r="C84" s="7"/>
      <c r="D84" s="7">
        <f t="shared" ref="D84:I84" si="7">SUM(D85:D104)</f>
        <v>0</v>
      </c>
      <c r="E84" s="7">
        <f t="shared" si="7"/>
        <v>290</v>
      </c>
      <c r="F84" s="7">
        <f t="shared" si="7"/>
        <v>290</v>
      </c>
      <c r="G84" s="7">
        <f t="shared" si="7"/>
        <v>0</v>
      </c>
      <c r="H84" s="7">
        <f t="shared" si="7"/>
        <v>0</v>
      </c>
      <c r="I84" s="7">
        <f t="shared" si="7"/>
        <v>0</v>
      </c>
    </row>
    <row r="85" spans="2:9" ht="20.100000000000001" customHeight="1" x14ac:dyDescent="0.25">
      <c r="B85" s="6"/>
      <c r="C85" s="7" t="str">
        <f t="shared" ref="C85:C104" si="8">C16</f>
        <v>CAD Interface General Requirements</v>
      </c>
      <c r="D85" s="7">
        <f>G85*2</f>
        <v>0</v>
      </c>
      <c r="E85" s="7">
        <f>COUNTIF('General Interface'!$D:$D,"Important")</f>
        <v>12</v>
      </c>
      <c r="F85" s="7">
        <f>'General Interface'!H12</f>
        <v>12</v>
      </c>
      <c r="G85" s="7">
        <f>'General Interface'!H13</f>
        <v>0</v>
      </c>
      <c r="H85" s="7">
        <f>'General Interface'!H14</f>
        <v>0</v>
      </c>
      <c r="I85" s="7">
        <f>'General Interface'!H15</f>
        <v>0</v>
      </c>
    </row>
    <row r="86" spans="2:9" ht="20.100000000000001" customHeight="1" x14ac:dyDescent="0.25">
      <c r="B86" s="6"/>
      <c r="C86" s="7" t="str">
        <f t="shared" si="8"/>
        <v>CAD Interface Alarm Monitoring</v>
      </c>
      <c r="D86" s="7">
        <f t="shared" ref="D86:D104" si="9">G86*2</f>
        <v>0</v>
      </c>
      <c r="E86" s="7">
        <f>COUNTIF('Alarm Monitoring'!$D:$D,"Important")</f>
        <v>9</v>
      </c>
      <c r="F86" s="7">
        <f>'Alarm Monitoring'!H12</f>
        <v>9</v>
      </c>
      <c r="G86" s="7">
        <f>'Alarm Monitoring'!H13</f>
        <v>0</v>
      </c>
      <c r="H86" s="7">
        <f>'Alarm Monitoring'!H14</f>
        <v>0</v>
      </c>
      <c r="I86" s="7">
        <f>'Alarm Monitoring'!H15</f>
        <v>0</v>
      </c>
    </row>
    <row r="87" spans="2:9" ht="20.100000000000001" customHeight="1" x14ac:dyDescent="0.25">
      <c r="B87" s="6"/>
      <c r="C87" s="7" t="str">
        <f t="shared" si="8"/>
        <v>CAD Interface Alerting</v>
      </c>
      <c r="D87" s="7">
        <f t="shared" si="9"/>
        <v>0</v>
      </c>
      <c r="E87" s="7">
        <f>COUNTIF('Alerting Interface'!$D:$D,"Important")</f>
        <v>12</v>
      </c>
      <c r="F87" s="7">
        <f>'Alerting Interface'!H13</f>
        <v>12</v>
      </c>
      <c r="G87" s="7">
        <f>'Alerting Interface'!H14</f>
        <v>0</v>
      </c>
      <c r="H87" s="7">
        <f>'Alerting Interface'!H15</f>
        <v>0</v>
      </c>
      <c r="I87" s="7">
        <f>'Alerting Interface'!H16</f>
        <v>0</v>
      </c>
    </row>
    <row r="88" spans="2:9" ht="20.100000000000001" customHeight="1" x14ac:dyDescent="0.25">
      <c r="B88" s="6"/>
      <c r="C88" s="7" t="str">
        <f t="shared" si="8"/>
        <v>CAD Interface Alphanumeric / Text Paging</v>
      </c>
      <c r="D88" s="7">
        <f t="shared" si="9"/>
        <v>0</v>
      </c>
      <c r="E88" s="7">
        <f>COUNTIF('Alpha-Text Paging Interface'!$D:$D,"Important")</f>
        <v>25</v>
      </c>
      <c r="F88" s="7">
        <f>'Alpha-Text Paging Interface'!H13</f>
        <v>25</v>
      </c>
      <c r="G88" s="7">
        <f>'Alpha-Text Paging Interface'!H14</f>
        <v>0</v>
      </c>
      <c r="H88" s="7">
        <f>'Alpha-Text Paging Interface'!H16</f>
        <v>0</v>
      </c>
      <c r="I88" s="7">
        <f>'Alpha-Text Paging Interface'!H17</f>
        <v>0</v>
      </c>
    </row>
    <row r="89" spans="2:9" ht="19.899999999999999" customHeight="1" x14ac:dyDescent="0.25">
      <c r="B89" s="6"/>
      <c r="C89" s="7" t="str">
        <f t="shared" si="8"/>
        <v>CAD Interface AVL</v>
      </c>
      <c r="D89" s="7">
        <f t="shared" si="9"/>
        <v>0</v>
      </c>
      <c r="E89" s="7">
        <f>COUNTIF('AVL Interface'!$D:$D,"Important")</f>
        <v>20</v>
      </c>
      <c r="F89" s="7">
        <f>'AVL Interface'!H12</f>
        <v>20</v>
      </c>
      <c r="G89" s="7">
        <f>'AVL Interface'!H13</f>
        <v>0</v>
      </c>
      <c r="H89" s="7">
        <f>'AVL Interface'!H14</f>
        <v>0</v>
      </c>
      <c r="I89" s="7">
        <f>'AVL Interface'!H15</f>
        <v>0</v>
      </c>
    </row>
    <row r="90" spans="2:9" ht="20.100000000000001" customHeight="1" x14ac:dyDescent="0.25">
      <c r="B90" s="6"/>
      <c r="C90" s="7" t="str">
        <f t="shared" si="8"/>
        <v>CAD Interface CAD2CAD</v>
      </c>
      <c r="D90" s="7">
        <f t="shared" si="9"/>
        <v>0</v>
      </c>
      <c r="E90" s="7">
        <f>COUNTIF(CAD2CAD!$D:$D,"Important")</f>
        <v>21</v>
      </c>
      <c r="F90" s="7">
        <f>CAD2CAD!H15</f>
        <v>21</v>
      </c>
      <c r="G90" s="7">
        <f>CAD2CAD!H16</f>
        <v>0</v>
      </c>
      <c r="H90" s="7">
        <f>CAD2CAD!H17</f>
        <v>0</v>
      </c>
      <c r="I90" s="7">
        <f>CAD2CAD!H19</f>
        <v>0</v>
      </c>
    </row>
    <row r="91" spans="2:9" ht="20.100000000000001" customHeight="1" x14ac:dyDescent="0.25">
      <c r="B91" s="6"/>
      <c r="C91" s="7" t="str">
        <f t="shared" si="8"/>
        <v>CAD Dispatch Protocol Software</v>
      </c>
      <c r="D91" s="7">
        <f t="shared" si="9"/>
        <v>0</v>
      </c>
      <c r="E91" s="7">
        <f>COUNTIF('Dispatch Protocol Software'!$D:$D,"Important")</f>
        <v>12</v>
      </c>
      <c r="F91" s="7">
        <f>'Dispatch Protocol Software'!H14</f>
        <v>12</v>
      </c>
      <c r="G91" s="7">
        <f>'Dispatch Protocol Software'!H15</f>
        <v>0</v>
      </c>
      <c r="H91" s="7">
        <f>'Dispatch Protocol Software'!H16</f>
        <v>0</v>
      </c>
      <c r="I91" s="7">
        <f>'Dispatch Protocol Software'!H17</f>
        <v>0</v>
      </c>
    </row>
    <row r="92" spans="2:9" ht="20.100000000000001" customHeight="1" x14ac:dyDescent="0.25">
      <c r="B92" s="6"/>
      <c r="C92" s="7" t="str">
        <f t="shared" si="8"/>
        <v>CAD Interface E9-1-1</v>
      </c>
      <c r="D92" s="7">
        <f t="shared" si="9"/>
        <v>0</v>
      </c>
      <c r="E92" s="7">
        <f>COUNTIF('E9-1-1 Interface'!$D:$D,"Important")</f>
        <v>5</v>
      </c>
      <c r="F92" s="7">
        <f>'E9-1-1 Interface'!H13</f>
        <v>5</v>
      </c>
      <c r="G92" s="7">
        <f>'E9-1-1 Interface'!H14</f>
        <v>0</v>
      </c>
      <c r="H92" s="7">
        <f>'E9-1-1 Interface'!H15</f>
        <v>0</v>
      </c>
      <c r="I92" s="7">
        <f>'E9-1-1 Interface'!H16</f>
        <v>0</v>
      </c>
    </row>
    <row r="93" spans="2:9" ht="20.100000000000001" customHeight="1" x14ac:dyDescent="0.25">
      <c r="B93" s="6"/>
      <c r="C93" s="7" t="str">
        <f t="shared" si="8"/>
        <v>CAD Interface Emergency Notification System</v>
      </c>
      <c r="D93" s="7">
        <f t="shared" si="9"/>
        <v>0</v>
      </c>
      <c r="E93" s="7">
        <f>COUNTIF('Emergency Notification System'!$D:$D,"Important")</f>
        <v>11</v>
      </c>
      <c r="F93" s="7">
        <f>'Emergency Notification System'!H14</f>
        <v>11</v>
      </c>
      <c r="G93" s="7">
        <f>'Emergency Notification System'!H15</f>
        <v>0</v>
      </c>
      <c r="H93" s="7">
        <f>'Emergency Notification System'!H16</f>
        <v>0</v>
      </c>
      <c r="I93" s="7">
        <f>'Emergency Notification System'!H17</f>
        <v>0</v>
      </c>
    </row>
    <row r="94" spans="2:9" ht="20.100000000000001" customHeight="1" x14ac:dyDescent="0.25">
      <c r="B94" s="6"/>
      <c r="C94" s="7" t="str">
        <f t="shared" si="8"/>
        <v>CAD Interface Fire Records Management Software</v>
      </c>
      <c r="D94" s="7">
        <f t="shared" si="9"/>
        <v>0</v>
      </c>
      <c r="E94" s="7">
        <f>COUNTIF(FRMS!$D:$D,"Important")</f>
        <v>15</v>
      </c>
      <c r="F94" s="7">
        <f>FRMS!H12</f>
        <v>15</v>
      </c>
      <c r="G94" s="7">
        <f>FRMS!H13</f>
        <v>0</v>
      </c>
      <c r="H94" s="7">
        <f>FRMS!H14</f>
        <v>0</v>
      </c>
      <c r="I94" s="7">
        <f>FRMS!H15</f>
        <v>0</v>
      </c>
    </row>
    <row r="95" spans="2:9" ht="20.100000000000001" customHeight="1" x14ac:dyDescent="0.25">
      <c r="B95" s="6"/>
      <c r="C95" s="7" t="str">
        <f t="shared" si="8"/>
        <v>CAD Interface Hazardous Materials</v>
      </c>
      <c r="D95" s="7">
        <f t="shared" si="9"/>
        <v>0</v>
      </c>
      <c r="E95" s="7">
        <f>COUNTIF('Hazardous Materials'!$D:$D,"Important")</f>
        <v>25</v>
      </c>
      <c r="F95" s="7">
        <f>'Hazardous Materials'!H13</f>
        <v>25</v>
      </c>
      <c r="G95" s="7">
        <f>'Hazardous Materials'!H14</f>
        <v>0</v>
      </c>
      <c r="H95" s="7">
        <f>'Hazardous Materials'!H15</f>
        <v>0</v>
      </c>
      <c r="I95" s="7">
        <f>'Hazardous Materials'!H16</f>
        <v>0</v>
      </c>
    </row>
    <row r="96" spans="2:9" ht="20.100000000000001" customHeight="1" x14ac:dyDescent="0.25">
      <c r="B96" s="6"/>
      <c r="C96" s="7" t="str">
        <f t="shared" si="8"/>
        <v>CAD Interface Logging Recorder</v>
      </c>
      <c r="D96" s="7">
        <f t="shared" si="9"/>
        <v>0</v>
      </c>
      <c r="E96" s="7">
        <f>COUNTIF('Logging Recorder'!$D:$D,"Important")</f>
        <v>2</v>
      </c>
      <c r="F96" s="7">
        <f>'Logging Recorder'!H12</f>
        <v>2</v>
      </c>
      <c r="G96" s="7">
        <f>'Logging Recorder'!H13</f>
        <v>0</v>
      </c>
      <c r="H96" s="7">
        <f>'Logging Recorder'!H14</f>
        <v>0</v>
      </c>
      <c r="I96" s="7">
        <f>'Logging Recorder'!H15</f>
        <v>0</v>
      </c>
    </row>
    <row r="97" spans="2:9" ht="20.100000000000001" customHeight="1" x14ac:dyDescent="0.25">
      <c r="B97" s="6"/>
      <c r="C97" s="7" t="str">
        <f t="shared" si="8"/>
        <v>CAD Interface NextGen 911</v>
      </c>
      <c r="D97" s="7">
        <f t="shared" si="9"/>
        <v>0</v>
      </c>
      <c r="E97" s="7">
        <f>COUNTIF(NextGen!$D:$D,"Important")</f>
        <v>18</v>
      </c>
      <c r="F97" s="7">
        <f>NextGen!H12</f>
        <v>18</v>
      </c>
      <c r="G97" s="7">
        <f>NextGen!H13</f>
        <v>0</v>
      </c>
      <c r="H97" s="7">
        <f>NextGen!H14</f>
        <v>0</v>
      </c>
      <c r="I97" s="7">
        <f>NextGen!H15</f>
        <v>0</v>
      </c>
    </row>
    <row r="98" spans="2:9" ht="20.100000000000001" customHeight="1" x14ac:dyDescent="0.25">
      <c r="B98" s="6"/>
      <c r="C98" s="7" t="str">
        <f t="shared" si="8"/>
        <v>CAD Interface PSAP Master Clock</v>
      </c>
      <c r="D98" s="7">
        <f t="shared" si="9"/>
        <v>0</v>
      </c>
      <c r="E98" s="7">
        <f>COUNTIF('PSAP Master Clock'!$D:$D,"Important")</f>
        <v>9</v>
      </c>
      <c r="F98" s="7">
        <f>'PSAP Master Clock'!H12</f>
        <v>9</v>
      </c>
      <c r="G98" s="7">
        <f>'PSAP Master Clock'!H13</f>
        <v>0</v>
      </c>
      <c r="H98" s="7">
        <f>'PSAP Master Clock'!H14</f>
        <v>0</v>
      </c>
      <c r="I98" s="7">
        <f>'PSAP Master Clock'!H15</f>
        <v>0</v>
      </c>
    </row>
    <row r="99" spans="2:9" ht="20.100000000000001" customHeight="1" x14ac:dyDescent="0.25">
      <c r="B99" s="6"/>
      <c r="C99" s="7" t="str">
        <f t="shared" si="8"/>
        <v>CAD Interface Pictometry</v>
      </c>
      <c r="D99" s="7">
        <f t="shared" si="9"/>
        <v>0</v>
      </c>
      <c r="E99" s="7">
        <f>COUNTIF(Pictometry!$D:$D,"Important")</f>
        <v>8</v>
      </c>
      <c r="F99" s="7">
        <f>Pictometry!H12</f>
        <v>8</v>
      </c>
      <c r="G99" s="7">
        <f>Pictometry!H13</f>
        <v>0</v>
      </c>
      <c r="H99" s="7">
        <f>Pictometry!H14</f>
        <v>0</v>
      </c>
      <c r="I99" s="7">
        <f>Pictometry!H15</f>
        <v>0</v>
      </c>
    </row>
    <row r="100" spans="2:9" ht="20.100000000000001" customHeight="1" x14ac:dyDescent="0.25">
      <c r="B100" s="6"/>
      <c r="C100" s="7" t="str">
        <f t="shared" si="8"/>
        <v>CAD Interface Radio System</v>
      </c>
      <c r="D100" s="7">
        <f t="shared" si="9"/>
        <v>0</v>
      </c>
      <c r="E100" s="7">
        <f>COUNTIF('Radio System'!$D:$D,"Important")</f>
        <v>16</v>
      </c>
      <c r="F100" s="7">
        <f>'Radio System'!H13</f>
        <v>16</v>
      </c>
      <c r="G100" s="7">
        <f>'Radio System'!H14</f>
        <v>0</v>
      </c>
      <c r="H100" s="7">
        <f>'Radio System'!H15</f>
        <v>0</v>
      </c>
      <c r="I100" s="7">
        <f>'Radio System'!H16</f>
        <v>0</v>
      </c>
    </row>
    <row r="101" spans="2:9" ht="20.100000000000001" customHeight="1" x14ac:dyDescent="0.25">
      <c r="B101" s="6"/>
      <c r="C101" s="7" t="str">
        <f t="shared" si="8"/>
        <v>CAD Interface LERMS</v>
      </c>
      <c r="D101" s="7">
        <f t="shared" si="9"/>
        <v>0</v>
      </c>
      <c r="E101" s="7">
        <f>COUNTIF(LERMS!$D:$D,"Important")</f>
        <v>12</v>
      </c>
      <c r="F101" s="7">
        <f>LERMS!H12</f>
        <v>12</v>
      </c>
      <c r="G101" s="7">
        <f>LERMS!H13</f>
        <v>0</v>
      </c>
      <c r="H101" s="7">
        <f>LERMS!H14</f>
        <v>0</v>
      </c>
      <c r="I101" s="7">
        <f>LERMS!H15</f>
        <v>0</v>
      </c>
    </row>
    <row r="102" spans="2:9" ht="20.100000000000001" customHeight="1" x14ac:dyDescent="0.25">
      <c r="B102" s="6"/>
      <c r="C102" s="7" t="str">
        <f t="shared" si="8"/>
        <v>CAD Interface LE State / NCIC</v>
      </c>
      <c r="D102" s="7">
        <f t="shared" si="9"/>
        <v>0</v>
      </c>
      <c r="E102" s="7">
        <f>COUNTIF('State NCIC Interface'!$D:$D,"Important")</f>
        <v>23</v>
      </c>
      <c r="F102" s="7">
        <f>'State NCIC Interface'!H12</f>
        <v>23</v>
      </c>
      <c r="G102" s="7">
        <f>'State NCIC Interface'!H14</f>
        <v>0</v>
      </c>
      <c r="H102" s="7">
        <f>'State NCIC Interface'!H15</f>
        <v>0</v>
      </c>
      <c r="I102" s="7">
        <f>'State NCIC Interface'!H16</f>
        <v>0</v>
      </c>
    </row>
    <row r="103" spans="2:9" ht="19.899999999999999" customHeight="1" x14ac:dyDescent="0.25">
      <c r="B103" s="6"/>
      <c r="C103" s="7" t="str">
        <f t="shared" si="8"/>
        <v>CAD Interface TDD / TDY</v>
      </c>
      <c r="D103" s="7">
        <f t="shared" si="9"/>
        <v>0</v>
      </c>
      <c r="E103" s="7">
        <f>COUNTIF('TDD-TTY'!$D:$D,"Important")</f>
        <v>4</v>
      </c>
      <c r="F103" s="7">
        <f>'TDD-TTY'!H13</f>
        <v>4</v>
      </c>
      <c r="G103" s="7">
        <f>'TDD-TTY'!H14</f>
        <v>0</v>
      </c>
      <c r="H103" s="7">
        <f>'TDD-TTY'!H15</f>
        <v>0</v>
      </c>
      <c r="I103" s="7">
        <f>'TDD-TTY'!H16</f>
        <v>0</v>
      </c>
    </row>
    <row r="104" spans="2:9" ht="19.899999999999999" customHeight="1" x14ac:dyDescent="0.25">
      <c r="B104" s="6"/>
      <c r="C104" s="7" t="str">
        <f t="shared" si="8"/>
        <v>CAD Interface Web CAD</v>
      </c>
      <c r="D104" s="7">
        <f t="shared" si="9"/>
        <v>0</v>
      </c>
      <c r="E104" s="7">
        <f>COUNTIF('Web CAD Interface'!$D:$D,"Important")</f>
        <v>31</v>
      </c>
      <c r="F104" s="7">
        <f>'Web CAD Interface'!H12</f>
        <v>31</v>
      </c>
      <c r="G104" s="7">
        <f>'Web CAD Interface'!H13</f>
        <v>0</v>
      </c>
      <c r="H104" s="7">
        <f>'Web CAD Interface'!H14</f>
        <v>0</v>
      </c>
      <c r="I104" s="7">
        <f>'Web CAD Interface'!H15</f>
        <v>0</v>
      </c>
    </row>
    <row r="105" spans="2:9" ht="3.75" customHeight="1" x14ac:dyDescent="0.25">
      <c r="B105" s="18"/>
      <c r="C105" s="18"/>
      <c r="D105" s="18"/>
      <c r="E105" s="18"/>
      <c r="F105" s="18"/>
      <c r="G105" s="18"/>
      <c r="H105" s="18"/>
      <c r="I105" s="18"/>
    </row>
    <row r="106" spans="2:9" s="4" customFormat="1" ht="59.25" customHeight="1" x14ac:dyDescent="0.25">
      <c r="B106" s="5" t="s">
        <v>4</v>
      </c>
      <c r="C106" s="5" t="s">
        <v>5</v>
      </c>
      <c r="D106" s="5" t="s">
        <v>14</v>
      </c>
      <c r="E106" s="5" t="s">
        <v>29</v>
      </c>
      <c r="F106" s="5" t="s">
        <v>30</v>
      </c>
      <c r="G106" s="5" t="s">
        <v>31</v>
      </c>
      <c r="H106" s="5" t="s">
        <v>32</v>
      </c>
      <c r="I106" s="5" t="s">
        <v>33</v>
      </c>
    </row>
    <row r="107" spans="2:9" ht="20.100000000000001" customHeight="1" x14ac:dyDescent="0.25">
      <c r="B107" s="6" t="str">
        <f>B15</f>
        <v>INTERFACES</v>
      </c>
      <c r="C107" s="7"/>
      <c r="D107" s="7">
        <f t="shared" ref="D107:I107" si="10">SUM(D108:D127)</f>
        <v>0</v>
      </c>
      <c r="E107" s="7">
        <f t="shared" si="10"/>
        <v>169</v>
      </c>
      <c r="F107" s="7">
        <f t="shared" si="10"/>
        <v>169</v>
      </c>
      <c r="G107" s="7">
        <f t="shared" si="10"/>
        <v>0</v>
      </c>
      <c r="H107" s="7">
        <f t="shared" si="10"/>
        <v>0</v>
      </c>
      <c r="I107" s="7">
        <f t="shared" si="10"/>
        <v>0</v>
      </c>
    </row>
    <row r="108" spans="2:9" ht="20.100000000000001" customHeight="1" x14ac:dyDescent="0.25">
      <c r="B108" s="6"/>
      <c r="C108" s="7" t="str">
        <f t="shared" ref="C108:C127" si="11">C16</f>
        <v>CAD Interface General Requirements</v>
      </c>
      <c r="D108" s="7">
        <f>G108*1</f>
        <v>0</v>
      </c>
      <c r="E108" s="7">
        <f>COUNTIF('General Interface'!$D:$D,"Minimal")</f>
        <v>12</v>
      </c>
      <c r="F108" s="7">
        <f>'General Interface'!H16</f>
        <v>12</v>
      </c>
      <c r="G108" s="7">
        <f>'General Interface'!H17</f>
        <v>0</v>
      </c>
      <c r="H108" s="7">
        <f>'General Interface'!H18</f>
        <v>0</v>
      </c>
      <c r="I108" s="7">
        <f>'General Interface'!H19</f>
        <v>0</v>
      </c>
    </row>
    <row r="109" spans="2:9" ht="20.100000000000001" customHeight="1" x14ac:dyDescent="0.25">
      <c r="B109" s="15"/>
      <c r="C109" s="7" t="str">
        <f t="shared" si="11"/>
        <v>CAD Interface Alarm Monitoring</v>
      </c>
      <c r="D109" s="7">
        <f t="shared" ref="D109:D127" si="12">G109*1</f>
        <v>0</v>
      </c>
      <c r="E109" s="7">
        <f>COUNTIF('Alarm Monitoring'!$D:$D,"Minimal")</f>
        <v>0</v>
      </c>
      <c r="F109" s="7">
        <f>'Alarm Monitoring'!H16</f>
        <v>0</v>
      </c>
      <c r="G109" s="7">
        <f>'Alarm Monitoring'!H17</f>
        <v>0</v>
      </c>
      <c r="H109" s="7">
        <f>'Alarm Monitoring'!H18</f>
        <v>0</v>
      </c>
      <c r="I109" s="7">
        <f>'Alarm Monitoring'!H19</f>
        <v>0</v>
      </c>
    </row>
    <row r="110" spans="2:9" ht="20.100000000000001" customHeight="1" x14ac:dyDescent="0.25">
      <c r="B110" s="6"/>
      <c r="C110" s="7" t="str">
        <f t="shared" si="11"/>
        <v>CAD Interface Alerting</v>
      </c>
      <c r="D110" s="7">
        <f t="shared" si="12"/>
        <v>0</v>
      </c>
      <c r="E110" s="7">
        <f>COUNTIF('Alerting Interface'!$D:$D,"Minimal")</f>
        <v>34</v>
      </c>
      <c r="F110" s="7">
        <f>'Alerting Interface'!H17</f>
        <v>34</v>
      </c>
      <c r="G110" s="7">
        <f>'Alerting Interface'!H18</f>
        <v>0</v>
      </c>
      <c r="H110" s="7">
        <f>'Alerting Interface'!H19</f>
        <v>0</v>
      </c>
      <c r="I110" s="7">
        <f>'Alerting Interface'!H20</f>
        <v>0</v>
      </c>
    </row>
    <row r="111" spans="2:9" ht="20.100000000000001" customHeight="1" x14ac:dyDescent="0.25">
      <c r="B111" s="6"/>
      <c r="C111" s="7" t="str">
        <f t="shared" si="11"/>
        <v>CAD Interface Alphanumeric / Text Paging</v>
      </c>
      <c r="D111" s="7">
        <f t="shared" si="12"/>
        <v>0</v>
      </c>
      <c r="E111" s="7">
        <f>COUNTIF('Alpha-Text Paging Interface'!$D:$D,"Minimal")</f>
        <v>11</v>
      </c>
      <c r="F111" s="7">
        <f>'Alpha-Text Paging Interface'!H18</f>
        <v>11</v>
      </c>
      <c r="G111" s="7">
        <f>'Alpha-Text Paging Interface'!H19</f>
        <v>0</v>
      </c>
      <c r="H111" s="7">
        <f>'Alpha-Text Paging Interface'!H20</f>
        <v>0</v>
      </c>
      <c r="I111" s="7">
        <f>'Alpha-Text Paging Interface'!H21</f>
        <v>0</v>
      </c>
    </row>
    <row r="112" spans="2:9" ht="20.100000000000001" customHeight="1" x14ac:dyDescent="0.25">
      <c r="B112" s="6"/>
      <c r="C112" s="7" t="str">
        <f t="shared" si="11"/>
        <v>CAD Interface AVL</v>
      </c>
      <c r="D112" s="7">
        <f t="shared" si="12"/>
        <v>0</v>
      </c>
      <c r="E112" s="7">
        <f>COUNTIF('AVL Interface'!$D:$D,"Minimal")</f>
        <v>0</v>
      </c>
      <c r="F112" s="7">
        <f>'AVL Interface'!H16</f>
        <v>0</v>
      </c>
      <c r="G112" s="7">
        <f>'AVL Interface'!H17</f>
        <v>0</v>
      </c>
      <c r="H112" s="7">
        <f>'AVL Interface'!H18</f>
        <v>0</v>
      </c>
      <c r="I112" s="7">
        <f>'AVL Interface'!H19</f>
        <v>0</v>
      </c>
    </row>
    <row r="113" spans="2:9" ht="20.100000000000001" customHeight="1" x14ac:dyDescent="0.25">
      <c r="B113" s="6"/>
      <c r="C113" s="7" t="str">
        <f t="shared" si="11"/>
        <v>CAD Interface CAD2CAD</v>
      </c>
      <c r="D113" s="7">
        <f t="shared" si="12"/>
        <v>0</v>
      </c>
      <c r="E113" s="7">
        <f>COUNTIF(CAD2CAD!$D:$D,"Minimal")</f>
        <v>4</v>
      </c>
      <c r="F113" s="7">
        <f>CAD2CAD!H20</f>
        <v>4</v>
      </c>
      <c r="G113" s="7">
        <f>CAD2CAD!H21</f>
        <v>0</v>
      </c>
      <c r="H113" s="7">
        <f>CAD2CAD!H22</f>
        <v>0</v>
      </c>
      <c r="I113" s="7">
        <f>CAD2CAD!H23</f>
        <v>0</v>
      </c>
    </row>
    <row r="114" spans="2:9" ht="20.100000000000001" customHeight="1" x14ac:dyDescent="0.25">
      <c r="B114" s="6"/>
      <c r="C114" s="7" t="str">
        <f t="shared" si="11"/>
        <v>CAD Dispatch Protocol Software</v>
      </c>
      <c r="D114" s="7">
        <f t="shared" si="12"/>
        <v>0</v>
      </c>
      <c r="E114" s="7">
        <f>COUNTIF('Dispatch Protocol Software'!$D:$D,"Minimal")</f>
        <v>30</v>
      </c>
      <c r="F114" s="7">
        <f>'Dispatch Protocol Software'!H18</f>
        <v>30</v>
      </c>
      <c r="G114" s="7">
        <f>'Dispatch Protocol Software'!H19</f>
        <v>0</v>
      </c>
      <c r="H114" s="7">
        <f>'Dispatch Protocol Software'!H20</f>
        <v>0</v>
      </c>
      <c r="I114" s="7">
        <f>'Dispatch Protocol Software'!H21</f>
        <v>0</v>
      </c>
    </row>
    <row r="115" spans="2:9" ht="20.100000000000001" customHeight="1" x14ac:dyDescent="0.25">
      <c r="B115" s="6"/>
      <c r="C115" s="7" t="str">
        <f t="shared" si="11"/>
        <v>CAD Interface E9-1-1</v>
      </c>
      <c r="D115" s="7">
        <f t="shared" si="12"/>
        <v>0</v>
      </c>
      <c r="E115" s="7">
        <f>COUNTIF('E9-1-1 Interface'!$D:$D,"Minimal")</f>
        <v>0</v>
      </c>
      <c r="F115" s="7">
        <f>'E9-1-1 Interface'!H17</f>
        <v>0</v>
      </c>
      <c r="G115" s="7">
        <f>'E9-1-1 Interface'!H18</f>
        <v>0</v>
      </c>
      <c r="H115" s="7">
        <f>'E9-1-1 Interface'!H19</f>
        <v>0</v>
      </c>
      <c r="I115" s="7">
        <f>'E9-1-1 Interface'!H20</f>
        <v>0</v>
      </c>
    </row>
    <row r="116" spans="2:9" ht="20.100000000000001" customHeight="1" x14ac:dyDescent="0.25">
      <c r="B116" s="6"/>
      <c r="C116" s="7" t="str">
        <f t="shared" si="11"/>
        <v>CAD Interface Emergency Notification System</v>
      </c>
      <c r="D116" s="7">
        <f t="shared" si="12"/>
        <v>0</v>
      </c>
      <c r="E116" s="7">
        <f>COUNTIF('Emergency Notification System'!$D:$D,"Minimal")</f>
        <v>0</v>
      </c>
      <c r="F116" s="7">
        <f>'Emergency Notification System'!H18</f>
        <v>0</v>
      </c>
      <c r="G116" s="7">
        <f>'Emergency Notification System'!H19</f>
        <v>0</v>
      </c>
      <c r="H116" s="7">
        <f>'Emergency Notification System'!H20</f>
        <v>0</v>
      </c>
      <c r="I116" s="7">
        <f>'Emergency Notification System'!H21</f>
        <v>0</v>
      </c>
    </row>
    <row r="117" spans="2:9" ht="20.100000000000001" customHeight="1" x14ac:dyDescent="0.25">
      <c r="B117" s="6"/>
      <c r="C117" s="7" t="str">
        <f t="shared" si="11"/>
        <v>CAD Interface Fire Records Management Software</v>
      </c>
      <c r="D117" s="7">
        <f t="shared" si="12"/>
        <v>0</v>
      </c>
      <c r="E117" s="7">
        <f>COUNTIF(FRMS!$D:$D,"Minimal")</f>
        <v>8</v>
      </c>
      <c r="F117" s="7">
        <f>FRMS!H16</f>
        <v>8</v>
      </c>
      <c r="G117" s="7">
        <f>FRMS!H18</f>
        <v>0</v>
      </c>
      <c r="H117" s="7">
        <f>FRMS!H19</f>
        <v>0</v>
      </c>
      <c r="I117" s="7">
        <f>FRMS!H20</f>
        <v>0</v>
      </c>
    </row>
    <row r="118" spans="2:9" ht="20.100000000000001" customHeight="1" x14ac:dyDescent="0.25">
      <c r="B118" s="6"/>
      <c r="C118" s="7" t="str">
        <f t="shared" si="11"/>
        <v>CAD Interface Hazardous Materials</v>
      </c>
      <c r="D118" s="7">
        <f t="shared" si="12"/>
        <v>0</v>
      </c>
      <c r="E118" s="7">
        <f>COUNTIF('Hazardous Materials'!$D:$D,"Minimal")</f>
        <v>6</v>
      </c>
      <c r="F118" s="7">
        <f>'Hazardous Materials'!H17</f>
        <v>6</v>
      </c>
      <c r="G118" s="7">
        <f>'Hazardous Materials'!H18</f>
        <v>0</v>
      </c>
      <c r="H118" s="7">
        <f>'Hazardous Materials'!H20</f>
        <v>0</v>
      </c>
      <c r="I118" s="7">
        <f>'Hazardous Materials'!H21</f>
        <v>0</v>
      </c>
    </row>
    <row r="119" spans="2:9" ht="20.100000000000001" customHeight="1" x14ac:dyDescent="0.25">
      <c r="B119" s="6"/>
      <c r="C119" s="7" t="str">
        <f t="shared" si="11"/>
        <v>CAD Interface Logging Recorder</v>
      </c>
      <c r="D119" s="7">
        <f t="shared" si="12"/>
        <v>0</v>
      </c>
      <c r="E119" s="7">
        <f>COUNTIF('Logging Recorder'!$D:$D,"Minimal")</f>
        <v>2</v>
      </c>
      <c r="F119" s="7">
        <f>'Logging Recorder'!H16</f>
        <v>2</v>
      </c>
      <c r="G119" s="7">
        <f>'Logging Recorder'!H17</f>
        <v>0</v>
      </c>
      <c r="H119" s="7">
        <f>'Logging Recorder'!H18</f>
        <v>0</v>
      </c>
      <c r="I119" s="7">
        <f>'Logging Recorder'!H19</f>
        <v>0</v>
      </c>
    </row>
    <row r="120" spans="2:9" ht="20.100000000000001" customHeight="1" x14ac:dyDescent="0.25">
      <c r="B120" s="6"/>
      <c r="C120" s="7" t="str">
        <f t="shared" si="11"/>
        <v>CAD Interface NextGen 911</v>
      </c>
      <c r="D120" s="7">
        <f t="shared" si="12"/>
        <v>0</v>
      </c>
      <c r="E120" s="7">
        <f>COUNTIF(NextGen!$D:$D,"Minimal")</f>
        <v>0</v>
      </c>
      <c r="F120" s="7">
        <f>NextGen!H16</f>
        <v>0</v>
      </c>
      <c r="G120" s="7">
        <f>NextGen!H17</f>
        <v>0</v>
      </c>
      <c r="H120" s="7">
        <f>NextGen!H18</f>
        <v>0</v>
      </c>
      <c r="I120" s="7">
        <f>NextGen!H19</f>
        <v>0</v>
      </c>
    </row>
    <row r="121" spans="2:9" ht="20.100000000000001" customHeight="1" x14ac:dyDescent="0.25">
      <c r="B121" s="6"/>
      <c r="C121" s="7" t="str">
        <f t="shared" si="11"/>
        <v>CAD Interface PSAP Master Clock</v>
      </c>
      <c r="D121" s="7">
        <f t="shared" si="12"/>
        <v>0</v>
      </c>
      <c r="E121" s="7">
        <f>COUNTIF('PSAP Master Clock'!$D:$D,"Minimal")</f>
        <v>2</v>
      </c>
      <c r="F121" s="7">
        <f>'PSAP Master Clock'!H16</f>
        <v>2</v>
      </c>
      <c r="G121" s="7">
        <f>'PSAP Master Clock'!H17</f>
        <v>0</v>
      </c>
      <c r="H121" s="7">
        <f>'PSAP Master Clock'!H18</f>
        <v>0</v>
      </c>
      <c r="I121" s="7">
        <f>'PSAP Master Clock'!H19</f>
        <v>0</v>
      </c>
    </row>
    <row r="122" spans="2:9" ht="20.100000000000001" customHeight="1" x14ac:dyDescent="0.25">
      <c r="B122" s="6"/>
      <c r="C122" s="7" t="str">
        <f t="shared" si="11"/>
        <v>CAD Interface Pictometry</v>
      </c>
      <c r="D122" s="7">
        <f t="shared" si="12"/>
        <v>0</v>
      </c>
      <c r="E122" s="7">
        <f>COUNTIF(Pictometry!$D:$D,"Minimal")</f>
        <v>0</v>
      </c>
      <c r="F122" s="7">
        <f>Pictometry!H16</f>
        <v>0</v>
      </c>
      <c r="G122" s="7">
        <f>Pictometry!H17</f>
        <v>0</v>
      </c>
      <c r="H122" s="7">
        <f>Pictometry!H18</f>
        <v>0</v>
      </c>
      <c r="I122" s="7">
        <f>Pictometry!H19</f>
        <v>0</v>
      </c>
    </row>
    <row r="123" spans="2:9" ht="20.100000000000001" customHeight="1" x14ac:dyDescent="0.25">
      <c r="B123" s="6"/>
      <c r="C123" s="7" t="str">
        <f t="shared" si="11"/>
        <v>CAD Interface Radio System</v>
      </c>
      <c r="D123" s="7">
        <f t="shared" si="12"/>
        <v>0</v>
      </c>
      <c r="E123" s="7">
        <f>COUNTIF('Radio System'!$D:$D,"Minimal")</f>
        <v>32</v>
      </c>
      <c r="F123" s="7">
        <f>'Radio System'!H17</f>
        <v>32</v>
      </c>
      <c r="G123" s="7">
        <f>'Radio System'!H18</f>
        <v>0</v>
      </c>
      <c r="H123" s="7">
        <f>'Radio System'!H19</f>
        <v>0</v>
      </c>
      <c r="I123" s="7">
        <f>'Radio System'!H20</f>
        <v>0</v>
      </c>
    </row>
    <row r="124" spans="2:9" ht="20.100000000000001" customHeight="1" x14ac:dyDescent="0.25">
      <c r="B124" s="6"/>
      <c r="C124" s="7" t="str">
        <f t="shared" si="11"/>
        <v>CAD Interface LERMS</v>
      </c>
      <c r="D124" s="7">
        <f t="shared" si="12"/>
        <v>0</v>
      </c>
      <c r="E124" s="7">
        <f>COUNTIF(LERMS!$D:$D,"Minimal")</f>
        <v>5</v>
      </c>
      <c r="F124" s="7">
        <f>LERMS!H16</f>
        <v>5</v>
      </c>
      <c r="G124" s="7">
        <f>LERMS!H17</f>
        <v>0</v>
      </c>
      <c r="H124" s="7">
        <f>LERMS!H18</f>
        <v>0</v>
      </c>
      <c r="I124" s="7">
        <f>LERMS!H20</f>
        <v>0</v>
      </c>
    </row>
    <row r="125" spans="2:9" ht="20.100000000000001" customHeight="1" x14ac:dyDescent="0.25">
      <c r="B125" s="6"/>
      <c r="C125" s="7" t="str">
        <f t="shared" si="11"/>
        <v>CAD Interface LE State / NCIC</v>
      </c>
      <c r="D125" s="7">
        <f t="shared" si="12"/>
        <v>0</v>
      </c>
      <c r="E125" s="7">
        <f>COUNTIF('State NCIC Interface'!$D:$D,"Minimal")</f>
        <v>14</v>
      </c>
      <c r="F125" s="7">
        <f>'State NCIC Interface'!H17</f>
        <v>14</v>
      </c>
      <c r="G125" s="7">
        <f>'State NCIC Interface'!H18</f>
        <v>0</v>
      </c>
      <c r="H125" s="7">
        <f>'State NCIC Interface'!H19</f>
        <v>0</v>
      </c>
      <c r="I125" s="7">
        <f>'State NCIC Interface'!H20</f>
        <v>0</v>
      </c>
    </row>
    <row r="126" spans="2:9" ht="20.100000000000001" customHeight="1" x14ac:dyDescent="0.25">
      <c r="B126" s="6"/>
      <c r="C126" s="7" t="str">
        <f t="shared" si="11"/>
        <v>CAD Interface TDD / TDY</v>
      </c>
      <c r="D126" s="7">
        <f t="shared" si="12"/>
        <v>0</v>
      </c>
      <c r="E126" s="7">
        <f>COUNTIF('TDD-TTY'!$D:$D,"Minimal")</f>
        <v>3</v>
      </c>
      <c r="F126" s="7">
        <f>'TDD-TTY'!H17</f>
        <v>3</v>
      </c>
      <c r="G126" s="7">
        <f>'TDD-TTY'!H18</f>
        <v>0</v>
      </c>
      <c r="H126" s="7">
        <f>'TDD-TTY'!H19</f>
        <v>0</v>
      </c>
      <c r="I126" s="7">
        <f>'TDD-TTY'!H20</f>
        <v>0</v>
      </c>
    </row>
    <row r="127" spans="2:9" ht="20.100000000000001" customHeight="1" x14ac:dyDescent="0.25">
      <c r="B127" s="6"/>
      <c r="C127" s="7" t="str">
        <f t="shared" si="11"/>
        <v>CAD Interface Web CAD</v>
      </c>
      <c r="D127" s="7">
        <f t="shared" si="12"/>
        <v>0</v>
      </c>
      <c r="E127" s="7">
        <f>COUNTIF('Web CAD Interface'!$D:$D,"Minimal")</f>
        <v>6</v>
      </c>
      <c r="F127" s="7">
        <f>'Web CAD Interface'!H16</f>
        <v>6</v>
      </c>
      <c r="G127" s="7">
        <f>'Web CAD Interface'!H17</f>
        <v>0</v>
      </c>
      <c r="H127" s="7">
        <f>'Web CAD Interface'!H18</f>
        <v>0</v>
      </c>
      <c r="I127" s="7">
        <f>'Web CAD Interface'!H19</f>
        <v>0</v>
      </c>
    </row>
    <row r="128" spans="2:9" ht="3.75" customHeight="1" x14ac:dyDescent="0.25">
      <c r="B128" s="308"/>
      <c r="C128" s="308"/>
      <c r="D128" s="308"/>
      <c r="E128" s="308"/>
      <c r="F128" s="308"/>
      <c r="G128" s="308"/>
      <c r="H128" s="308"/>
      <c r="I128" s="308"/>
    </row>
    <row r="129" ht="14.25" hidden="1" customHeight="1" x14ac:dyDescent="0.25"/>
    <row r="200" x14ac:dyDescent="0.25"/>
  </sheetData>
  <mergeCells count="2">
    <mergeCell ref="B128:I128"/>
    <mergeCell ref="B2:I2"/>
  </mergeCells>
  <pageMargins left="0.7" right="0.7" top="0.75" bottom="0.75" header="0.3" footer="0.3"/>
  <pageSetup scale="50" fitToHeight="0" orientation="portrait" horizontalDpi="300" verticalDpi="300" r:id="rId1"/>
  <headerFooter>
    <oddHeader>&amp;CCity, State
&amp;F&amp;R&amp;A</oddHeader>
    <oddFooter>&amp;LTSSI Consulting LLC, October 2023&amp;CPage &amp;P of &amp;N</oddFooter>
  </headerFooter>
  <tableParts count="1">
    <tablePart r:id="rId2"/>
  </tablePart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3">
    <tabColor rgb="FFFFCC00"/>
    <pageSetUpPr fitToPage="1"/>
  </sheetPr>
  <dimension ref="A1:M23"/>
  <sheetViews>
    <sheetView showGridLines="0" zoomScale="80" zoomScaleNormal="80" zoomScalePageLayoutView="40" workbookViewId="0">
      <selection activeCell="F4" sqref="F4"/>
    </sheetView>
  </sheetViews>
  <sheetFormatPr defaultColWidth="0" defaultRowHeight="15" zeroHeight="1" x14ac:dyDescent="0.25"/>
  <cols>
    <col min="1" max="1" width="2.42578125" customWidth="1"/>
    <col min="2" max="2" width="11.7109375" customWidth="1"/>
    <col min="3" max="3" width="11.42578125" customWidth="1"/>
    <col min="4" max="4" width="23.28515625" customWidth="1"/>
    <col min="5" max="5" width="65.7109375" style="63" customWidth="1"/>
    <col min="6" max="6" width="28.7109375" customWidth="1"/>
    <col min="7" max="7" width="15.42578125" style="64" hidden="1" customWidth="1"/>
    <col min="8" max="11" width="12.7109375" hidden="1" customWidth="1"/>
    <col min="12" max="12" width="49.42578125" customWidth="1"/>
    <col min="13" max="13" width="2" customWidth="1"/>
    <col min="14" max="16384" width="9.28515625" hidden="1"/>
  </cols>
  <sheetData>
    <row r="1" spans="2:12" ht="3.6" customHeight="1" x14ac:dyDescent="0.25"/>
    <row r="2" spans="2:12" s="71" customFormat="1" ht="129" customHeight="1" thickBot="1" x14ac:dyDescent="0.25">
      <c r="B2" s="65" t="s">
        <v>44</v>
      </c>
      <c r="C2" s="66" t="s">
        <v>45</v>
      </c>
      <c r="D2" s="66" t="s">
        <v>46</v>
      </c>
      <c r="E2" s="66" t="s">
        <v>427</v>
      </c>
      <c r="F2" s="66" t="s">
        <v>42</v>
      </c>
      <c r="G2" s="67" t="s">
        <v>48</v>
      </c>
      <c r="H2" s="67" t="s">
        <v>49</v>
      </c>
      <c r="I2" s="68" t="s">
        <v>50</v>
      </c>
      <c r="J2" s="68" t="s">
        <v>51</v>
      </c>
      <c r="K2" s="69" t="s">
        <v>14</v>
      </c>
      <c r="L2" s="70" t="s">
        <v>52</v>
      </c>
    </row>
    <row r="3" spans="2:12" ht="16.5" thickBot="1" x14ac:dyDescent="0.3">
      <c r="B3" s="72" t="s">
        <v>428</v>
      </c>
      <c r="C3" s="72"/>
      <c r="D3" s="72"/>
      <c r="E3" s="72"/>
      <c r="F3" s="72"/>
      <c r="G3" s="73" t="s">
        <v>54</v>
      </c>
      <c r="H3" s="74">
        <f>COUNTA(D4:D500)</f>
        <v>18</v>
      </c>
      <c r="I3" s="75"/>
      <c r="J3" s="76" t="s">
        <v>55</v>
      </c>
      <c r="K3" s="77">
        <f>SUM(K4:K500)</f>
        <v>0</v>
      </c>
      <c r="L3" s="72"/>
    </row>
    <row r="4" spans="2:12" ht="59.25" customHeight="1" x14ac:dyDescent="0.25">
      <c r="B4" s="78" t="s">
        <v>429</v>
      </c>
      <c r="C4" s="79">
        <v>1</v>
      </c>
      <c r="D4" s="80" t="s">
        <v>9</v>
      </c>
      <c r="E4" s="204" t="s">
        <v>672</v>
      </c>
      <c r="F4" s="223" t="s">
        <v>43</v>
      </c>
      <c r="G4" s="224" t="s">
        <v>57</v>
      </c>
      <c r="H4" s="225">
        <f>COUNTIF(F4:F500,"Select from Drop Down")</f>
        <v>18</v>
      </c>
      <c r="I4" s="226">
        <f>VLOOKUP($D4,SpecData,2,FALSE)</f>
        <v>3</v>
      </c>
      <c r="J4" s="227">
        <f>VLOOKUP($F4,AvailabilityData,2,FALSE)</f>
        <v>0</v>
      </c>
      <c r="K4" s="228">
        <f>I4*J4</f>
        <v>0</v>
      </c>
      <c r="L4" s="20"/>
    </row>
    <row r="5" spans="2:12" ht="45" customHeight="1" x14ac:dyDescent="0.25">
      <c r="B5" s="78" t="str">
        <f>IF(C5="","",$B$4)</f>
        <v>IRMS</v>
      </c>
      <c r="C5" s="79">
        <v>2</v>
      </c>
      <c r="D5" s="80" t="s">
        <v>10</v>
      </c>
      <c r="E5" s="204" t="s">
        <v>430</v>
      </c>
      <c r="F5" s="223" t="s">
        <v>43</v>
      </c>
      <c r="G5" s="224" t="s">
        <v>59</v>
      </c>
      <c r="H5" s="225">
        <f>COUNTIF(F4:F500,"Function Available")</f>
        <v>0</v>
      </c>
      <c r="I5" s="226">
        <f>VLOOKUP($D5,SpecData,2,FALSE)</f>
        <v>2</v>
      </c>
      <c r="J5" s="227">
        <f>VLOOKUP($F5,AvailabilityData,2,FALSE)</f>
        <v>0</v>
      </c>
      <c r="K5" s="228">
        <f>I5*J5</f>
        <v>0</v>
      </c>
      <c r="L5" s="20"/>
    </row>
    <row r="6" spans="2:12" ht="45" customHeight="1" x14ac:dyDescent="0.25">
      <c r="B6" s="78" t="str">
        <f t="shared" ref="B6:B22" si="0">IF(C6="","",$B$4)</f>
        <v>IRMS</v>
      </c>
      <c r="C6" s="79">
        <v>3</v>
      </c>
      <c r="D6" s="80" t="s">
        <v>10</v>
      </c>
      <c r="E6" s="204" t="s">
        <v>431</v>
      </c>
      <c r="F6" s="223" t="s">
        <v>43</v>
      </c>
      <c r="G6" s="224" t="s">
        <v>61</v>
      </c>
      <c r="H6" s="231">
        <f>COUNTIF(F4:F500,"Function Not Available")</f>
        <v>0</v>
      </c>
      <c r="I6" s="226">
        <f t="shared" ref="I6:I12" si="1">VLOOKUP($D6,SpecData,2,FALSE)</f>
        <v>2</v>
      </c>
      <c r="J6" s="227">
        <f t="shared" ref="J6:J12" si="2">VLOOKUP($F6,AvailabilityData,2,FALSE)</f>
        <v>0</v>
      </c>
      <c r="K6" s="250">
        <f t="shared" ref="K6:K12" si="3">I6*J6</f>
        <v>0</v>
      </c>
      <c r="L6" s="20"/>
    </row>
    <row r="7" spans="2:12" ht="45" customHeight="1" x14ac:dyDescent="0.25">
      <c r="B7" s="78" t="str">
        <f t="shared" si="0"/>
        <v>IRMS</v>
      </c>
      <c r="C7" s="79">
        <f>IF(ISTEXT(D7),MAX($C$6:$C6)+1,"")</f>
        <v>4</v>
      </c>
      <c r="D7" s="80" t="s">
        <v>10</v>
      </c>
      <c r="E7" s="204" t="s">
        <v>432</v>
      </c>
      <c r="F7" s="223" t="s">
        <v>43</v>
      </c>
      <c r="G7" s="224" t="s">
        <v>63</v>
      </c>
      <c r="H7" s="231">
        <f>COUNTIF(F4:F500,"Exception")</f>
        <v>0</v>
      </c>
      <c r="I7" s="226">
        <f t="shared" si="1"/>
        <v>2</v>
      </c>
      <c r="J7" s="227">
        <f t="shared" si="2"/>
        <v>0</v>
      </c>
      <c r="K7" s="228">
        <f t="shared" si="3"/>
        <v>0</v>
      </c>
      <c r="L7" s="20"/>
    </row>
    <row r="8" spans="2:12" ht="30" customHeight="1" x14ac:dyDescent="0.25">
      <c r="B8" s="78" t="str">
        <f t="shared" si="0"/>
        <v>IRMS</v>
      </c>
      <c r="C8" s="79">
        <f>IF(ISTEXT(D8),MAX($C$6:$C7)+1,"")</f>
        <v>5</v>
      </c>
      <c r="D8" s="80" t="s">
        <v>11</v>
      </c>
      <c r="E8" s="88" t="s">
        <v>306</v>
      </c>
      <c r="F8" s="223" t="s">
        <v>43</v>
      </c>
      <c r="G8" s="224" t="s">
        <v>65</v>
      </c>
      <c r="H8" s="232">
        <f>COUNTIFS(D:D,"=Crucial",F:F,"=Select From Drop Down")</f>
        <v>1</v>
      </c>
      <c r="I8" s="226">
        <f t="shared" si="1"/>
        <v>1</v>
      </c>
      <c r="J8" s="227">
        <f t="shared" si="2"/>
        <v>0</v>
      </c>
      <c r="K8" s="250">
        <f t="shared" si="3"/>
        <v>0</v>
      </c>
      <c r="L8" s="20"/>
    </row>
    <row r="9" spans="2:12" ht="30" customHeight="1" x14ac:dyDescent="0.25">
      <c r="B9" s="78" t="str">
        <f t="shared" si="0"/>
        <v>IRMS</v>
      </c>
      <c r="C9" s="79">
        <f>IF(ISTEXT(D9),MAX($C$6:$C8)+1,"")</f>
        <v>6</v>
      </c>
      <c r="D9" s="80" t="s">
        <v>11</v>
      </c>
      <c r="E9" s="88" t="s">
        <v>433</v>
      </c>
      <c r="F9" s="223" t="s">
        <v>43</v>
      </c>
      <c r="G9" s="224" t="s">
        <v>67</v>
      </c>
      <c r="H9" s="232">
        <f>COUNTIFS(D:D,"=Crucial",F:F,"=Function Available")</f>
        <v>0</v>
      </c>
      <c r="I9" s="226">
        <f t="shared" si="1"/>
        <v>1</v>
      </c>
      <c r="J9" s="227">
        <f t="shared" si="2"/>
        <v>0</v>
      </c>
      <c r="K9" s="250">
        <f t="shared" si="3"/>
        <v>0</v>
      </c>
      <c r="L9" s="20"/>
    </row>
    <row r="10" spans="2:12" ht="30" customHeight="1" x14ac:dyDescent="0.25">
      <c r="B10" s="78" t="str">
        <f t="shared" si="0"/>
        <v>IRMS</v>
      </c>
      <c r="C10" s="79">
        <f>IF(ISTEXT(D10),MAX($C$6:$C9)+1,"")</f>
        <v>7</v>
      </c>
      <c r="D10" s="80" t="s">
        <v>11</v>
      </c>
      <c r="E10" s="88" t="s">
        <v>434</v>
      </c>
      <c r="F10" s="223" t="s">
        <v>43</v>
      </c>
      <c r="G10" s="224" t="s">
        <v>69</v>
      </c>
      <c r="H10" s="232">
        <f>COUNTIFS(D:D,"=Crucial",F:F,"=Function Not Available")</f>
        <v>0</v>
      </c>
      <c r="I10" s="226">
        <f t="shared" si="1"/>
        <v>1</v>
      </c>
      <c r="J10" s="227">
        <f t="shared" si="2"/>
        <v>0</v>
      </c>
      <c r="K10" s="250">
        <f t="shared" si="3"/>
        <v>0</v>
      </c>
      <c r="L10" s="20"/>
    </row>
    <row r="11" spans="2:12" ht="30" customHeight="1" x14ac:dyDescent="0.25">
      <c r="B11" s="78" t="str">
        <f t="shared" si="0"/>
        <v>IRMS</v>
      </c>
      <c r="C11" s="79">
        <f>IF(ISTEXT(D11),MAX($C$6:$C10)+1,"")</f>
        <v>8</v>
      </c>
      <c r="D11" s="80" t="s">
        <v>10</v>
      </c>
      <c r="E11" s="88" t="s">
        <v>435</v>
      </c>
      <c r="F11" s="223" t="s">
        <v>43</v>
      </c>
      <c r="G11" s="241" t="s">
        <v>70</v>
      </c>
      <c r="H11" s="251">
        <f>COUNTIFS(D:D,"=Crucial",F:F,"=Exception")</f>
        <v>0</v>
      </c>
      <c r="I11" s="252">
        <f t="shared" si="1"/>
        <v>2</v>
      </c>
      <c r="J11" s="253">
        <f t="shared" si="2"/>
        <v>0</v>
      </c>
      <c r="K11" s="254">
        <f t="shared" si="3"/>
        <v>0</v>
      </c>
      <c r="L11" s="22"/>
    </row>
    <row r="12" spans="2:12" ht="30" customHeight="1" x14ac:dyDescent="0.25">
      <c r="B12" s="78" t="str">
        <f t="shared" si="0"/>
        <v>IRMS</v>
      </c>
      <c r="C12" s="79">
        <f>IF(ISTEXT(D12),MAX($C$6:$C11)+1,"")</f>
        <v>9</v>
      </c>
      <c r="D12" s="80" t="s">
        <v>10</v>
      </c>
      <c r="E12" s="88" t="s">
        <v>436</v>
      </c>
      <c r="F12" s="223" t="s">
        <v>43</v>
      </c>
      <c r="G12" s="224" t="s">
        <v>72</v>
      </c>
      <c r="H12" s="232">
        <f>COUNTIFS(D:D,"=Important",F:F,"=Select From Drop Down")</f>
        <v>12</v>
      </c>
      <c r="I12" s="226">
        <f t="shared" si="1"/>
        <v>2</v>
      </c>
      <c r="J12" s="227">
        <f t="shared" si="2"/>
        <v>0</v>
      </c>
      <c r="K12" s="250">
        <f t="shared" si="3"/>
        <v>0</v>
      </c>
      <c r="L12" s="20"/>
    </row>
    <row r="13" spans="2:12" ht="30" customHeight="1" x14ac:dyDescent="0.25">
      <c r="B13" s="78" t="str">
        <f t="shared" si="0"/>
        <v>IRMS</v>
      </c>
      <c r="C13" s="79">
        <f>IF(ISTEXT(D13),MAX($C$6:$C12)+1,"")</f>
        <v>10</v>
      </c>
      <c r="D13" s="80" t="s">
        <v>11</v>
      </c>
      <c r="E13" s="81" t="s">
        <v>437</v>
      </c>
      <c r="F13" s="223" t="s">
        <v>43</v>
      </c>
      <c r="G13" s="241" t="s">
        <v>74</v>
      </c>
      <c r="H13" s="251">
        <f>COUNTIFS(D:D,"=Important",F:F,"=Function Available")</f>
        <v>0</v>
      </c>
      <c r="I13" s="252">
        <f t="shared" ref="I13:I22" si="4">VLOOKUP($D13,SpecData,2,FALSE)</f>
        <v>1</v>
      </c>
      <c r="J13" s="253">
        <f t="shared" ref="J13:J22" si="5">VLOOKUP($F13,AvailabilityData,2,FALSE)</f>
        <v>0</v>
      </c>
      <c r="K13" s="254">
        <f t="shared" ref="K13:K22" si="6">I13*J13</f>
        <v>0</v>
      </c>
      <c r="L13" s="25"/>
    </row>
    <row r="14" spans="2:12" ht="30" customHeight="1" x14ac:dyDescent="0.25">
      <c r="B14" s="78" t="str">
        <f t="shared" si="0"/>
        <v>IRMS</v>
      </c>
      <c r="C14" s="79">
        <f>IF(ISTEXT(D14),MAX($C$6:$C13)+1,"")</f>
        <v>11</v>
      </c>
      <c r="D14" s="80" t="s">
        <v>10</v>
      </c>
      <c r="E14" s="81" t="s">
        <v>640</v>
      </c>
      <c r="F14" s="223" t="s">
        <v>43</v>
      </c>
      <c r="G14" s="224" t="s">
        <v>76</v>
      </c>
      <c r="H14" s="232">
        <f>COUNTIFS(D:D,"=Important",F:F,"=Function Not Available")</f>
        <v>0</v>
      </c>
      <c r="I14" s="235">
        <f t="shared" si="4"/>
        <v>2</v>
      </c>
      <c r="J14" s="236">
        <f t="shared" si="5"/>
        <v>0</v>
      </c>
      <c r="K14" s="250">
        <f t="shared" si="6"/>
        <v>0</v>
      </c>
      <c r="L14" s="20"/>
    </row>
    <row r="15" spans="2:12" ht="43.5" customHeight="1" x14ac:dyDescent="0.25">
      <c r="B15" s="78" t="str">
        <f t="shared" si="0"/>
        <v>IRMS</v>
      </c>
      <c r="C15" s="79">
        <f>IF(ISTEXT(D15),MAX($C$6:$C14)+1,"")</f>
        <v>12</v>
      </c>
      <c r="D15" s="80" t="s">
        <v>10</v>
      </c>
      <c r="E15" s="204" t="s">
        <v>438</v>
      </c>
      <c r="F15" s="223" t="s">
        <v>43</v>
      </c>
      <c r="G15" s="224" t="s">
        <v>77</v>
      </c>
      <c r="H15" s="232">
        <f>COUNTIFS(D:D,"=Important",F:F,"=Exception")</f>
        <v>0</v>
      </c>
      <c r="I15" s="235">
        <f t="shared" si="4"/>
        <v>2</v>
      </c>
      <c r="J15" s="236">
        <f t="shared" si="5"/>
        <v>0</v>
      </c>
      <c r="K15" s="250">
        <f t="shared" si="6"/>
        <v>0</v>
      </c>
      <c r="L15" s="20"/>
    </row>
    <row r="16" spans="2:12" ht="30" customHeight="1" x14ac:dyDescent="0.25">
      <c r="B16" s="78" t="str">
        <f t="shared" si="0"/>
        <v>IRMS</v>
      </c>
      <c r="C16" s="79">
        <f>IF(ISTEXT(D16),MAX($C$6:$C15)+1,"")</f>
        <v>13</v>
      </c>
      <c r="D16" s="80" t="s">
        <v>10</v>
      </c>
      <c r="E16" s="204" t="s">
        <v>439</v>
      </c>
      <c r="F16" s="223" t="s">
        <v>43</v>
      </c>
      <c r="G16" s="224" t="s">
        <v>78</v>
      </c>
      <c r="H16" s="232">
        <f>COUNTIFS(D:D,"=Minimal",F:F,"=Select From Drop Down")</f>
        <v>5</v>
      </c>
      <c r="I16" s="235">
        <f t="shared" si="4"/>
        <v>2</v>
      </c>
      <c r="J16" s="236">
        <f t="shared" si="5"/>
        <v>0</v>
      </c>
      <c r="K16" s="250">
        <f t="shared" si="6"/>
        <v>0</v>
      </c>
      <c r="L16" s="20"/>
    </row>
    <row r="17" spans="2:12" ht="47.25" customHeight="1" x14ac:dyDescent="0.25">
      <c r="B17" s="78" t="str">
        <f t="shared" si="0"/>
        <v>IRMS</v>
      </c>
      <c r="C17" s="79">
        <f>IF(ISTEXT(D17),MAX($C$6:$C16)+1,"")</f>
        <v>14</v>
      </c>
      <c r="D17" s="80" t="s">
        <v>10</v>
      </c>
      <c r="E17" s="204" t="s">
        <v>440</v>
      </c>
      <c r="F17" s="223" t="s">
        <v>43</v>
      </c>
      <c r="G17" s="224" t="s">
        <v>80</v>
      </c>
      <c r="H17" s="232">
        <f>COUNTIFS(D:D,"=Minimal",F:F,"=Function Available")</f>
        <v>0</v>
      </c>
      <c r="I17" s="235">
        <f t="shared" si="4"/>
        <v>2</v>
      </c>
      <c r="J17" s="236">
        <f t="shared" si="5"/>
        <v>0</v>
      </c>
      <c r="K17" s="250">
        <f t="shared" si="6"/>
        <v>0</v>
      </c>
      <c r="L17" s="20"/>
    </row>
    <row r="18" spans="2:12" ht="44.25" customHeight="1" x14ac:dyDescent="0.25">
      <c r="B18" s="78" t="str">
        <f t="shared" si="0"/>
        <v>IRMS</v>
      </c>
      <c r="C18" s="79">
        <f>IF(ISTEXT(D18),MAX($C$6:$C17)+1,"")</f>
        <v>15</v>
      </c>
      <c r="D18" s="80" t="s">
        <v>11</v>
      </c>
      <c r="E18" s="209" t="s">
        <v>441</v>
      </c>
      <c r="F18" s="223" t="s">
        <v>43</v>
      </c>
      <c r="G18" s="224" t="s">
        <v>82</v>
      </c>
      <c r="H18" s="232">
        <f>COUNTIFS(D:D,"=Minimal",F:F,"=Function Not Available")</f>
        <v>0</v>
      </c>
      <c r="I18" s="235">
        <f t="shared" si="4"/>
        <v>1</v>
      </c>
      <c r="J18" s="236">
        <f t="shared" si="5"/>
        <v>0</v>
      </c>
      <c r="K18" s="250">
        <f t="shared" si="6"/>
        <v>0</v>
      </c>
      <c r="L18" s="20"/>
    </row>
    <row r="19" spans="2:12" ht="30" customHeight="1" x14ac:dyDescent="0.25">
      <c r="B19" s="124" t="str">
        <f t="shared" si="0"/>
        <v/>
      </c>
      <c r="C19" s="125" t="str">
        <f>IF(ISTEXT(D19),MAX($C$6:$C18)+1,"")</f>
        <v/>
      </c>
      <c r="D19" s="126"/>
      <c r="E19" s="205" t="s">
        <v>442</v>
      </c>
      <c r="F19" s="128"/>
      <c r="G19" s="129"/>
      <c r="H19" s="129"/>
      <c r="I19" s="129"/>
      <c r="J19" s="129"/>
      <c r="K19" s="129"/>
      <c r="L19" s="129"/>
    </row>
    <row r="20" spans="2:12" ht="30" customHeight="1" x14ac:dyDescent="0.25">
      <c r="B20" s="78" t="str">
        <f t="shared" si="0"/>
        <v>IRMS</v>
      </c>
      <c r="C20" s="79">
        <f>IF(ISTEXT(D20),MAX($C$6:$C18)+1,"")</f>
        <v>16</v>
      </c>
      <c r="D20" s="80" t="s">
        <v>10</v>
      </c>
      <c r="E20" s="210" t="s">
        <v>618</v>
      </c>
      <c r="F20" s="223" t="s">
        <v>43</v>
      </c>
      <c r="G20" s="224" t="s">
        <v>83</v>
      </c>
      <c r="H20" s="232">
        <f>COUNTIFS(D:D,"=Minimal",F:F,"=Exception")</f>
        <v>0</v>
      </c>
      <c r="I20" s="235">
        <f t="shared" si="4"/>
        <v>2</v>
      </c>
      <c r="J20" s="236">
        <f t="shared" si="5"/>
        <v>0</v>
      </c>
      <c r="K20" s="250">
        <f t="shared" si="6"/>
        <v>0</v>
      </c>
      <c r="L20" s="20"/>
    </row>
    <row r="21" spans="2:12" ht="30" customHeight="1" x14ac:dyDescent="0.25">
      <c r="B21" s="78" t="str">
        <f t="shared" si="0"/>
        <v>IRMS</v>
      </c>
      <c r="C21" s="79">
        <f>IF(ISTEXT(D21),MAX($C$6:$C20)+1,"")</f>
        <v>17</v>
      </c>
      <c r="D21" s="80" t="s">
        <v>10</v>
      </c>
      <c r="E21" s="206" t="s">
        <v>167</v>
      </c>
      <c r="F21" s="223" t="s">
        <v>43</v>
      </c>
      <c r="G21" s="224"/>
      <c r="H21" s="231"/>
      <c r="I21" s="235">
        <f t="shared" si="4"/>
        <v>2</v>
      </c>
      <c r="J21" s="236">
        <f t="shared" si="5"/>
        <v>0</v>
      </c>
      <c r="K21" s="250">
        <f t="shared" si="6"/>
        <v>0</v>
      </c>
      <c r="L21" s="20"/>
    </row>
    <row r="22" spans="2:12" ht="30" customHeight="1" x14ac:dyDescent="0.25">
      <c r="B22" s="78" t="str">
        <f t="shared" si="0"/>
        <v>IRMS</v>
      </c>
      <c r="C22" s="79">
        <f>IF(ISTEXT(D22),MAX($C$6:$C21)+1,"")</f>
        <v>18</v>
      </c>
      <c r="D22" s="80" t="s">
        <v>10</v>
      </c>
      <c r="E22" s="206" t="s">
        <v>619</v>
      </c>
      <c r="F22" s="223" t="s">
        <v>43</v>
      </c>
      <c r="G22" s="224"/>
      <c r="H22" s="231"/>
      <c r="I22" s="235">
        <f t="shared" si="4"/>
        <v>2</v>
      </c>
      <c r="J22" s="236">
        <f t="shared" si="5"/>
        <v>0</v>
      </c>
      <c r="K22" s="250">
        <f t="shared" si="6"/>
        <v>0</v>
      </c>
      <c r="L22" s="20"/>
    </row>
    <row r="23" spans="2:12" ht="7.5" customHeight="1" x14ac:dyDescent="0.25"/>
  </sheetData>
  <sheetProtection algorithmName="SHA-512" hashValue="492B5aXLgzaFRpIsvB6pReqvBr4tDb0M2NibanVdapwkfo5mOZkEkFoqkHI1F6Rwn/R2fC0yq0xQ1FD7u/qMHg==" saltValue="frkeujvy4CA4a4D7PPx9kg==" spinCount="100000" sheet="1" selectLockedCells="1"/>
  <conditionalFormatting sqref="D4:D18">
    <cfRule type="cellIs" dxfId="35" priority="4" operator="equal">
      <formula>"Important"</formula>
    </cfRule>
    <cfRule type="cellIs" dxfId="34" priority="5" operator="equal">
      <formula>"Crucial"</formula>
    </cfRule>
    <cfRule type="cellIs" dxfId="33" priority="6" operator="equal">
      <formula>"N/A"</formula>
    </cfRule>
  </conditionalFormatting>
  <conditionalFormatting sqref="D20:D22">
    <cfRule type="cellIs" dxfId="32" priority="1" operator="equal">
      <formula>"Important"</formula>
    </cfRule>
    <cfRule type="cellIs" dxfId="31" priority="2" operator="equal">
      <formula>"Crucial"</formula>
    </cfRule>
    <cfRule type="cellIs" dxfId="30" priority="3" operator="equal">
      <formula>"N/A"</formula>
    </cfRule>
  </conditionalFormatting>
  <conditionalFormatting sqref="F4:F22">
    <cfRule type="cellIs" dxfId="29" priority="16" operator="equal">
      <formula>"Function Not Available"</formula>
    </cfRule>
    <cfRule type="cellIs" dxfId="28" priority="17" operator="equal">
      <formula>"Function Available"</formula>
    </cfRule>
    <cfRule type="cellIs" dxfId="27" priority="18" operator="equal">
      <formula>"Exception"</formula>
    </cfRule>
  </conditionalFormatting>
  <dataValidations count="3">
    <dataValidation type="list" allowBlank="1" showInputMessage="1" showErrorMessage="1" errorTitle="Invalid specification type" error="Please enter a Specification type from the drop-down list." sqref="F6:F18 F20:F22" xr:uid="{00000000-0002-0000-1B00-000000000000}">
      <formula1>AvailabilityType</formula1>
    </dataValidation>
    <dataValidation type="list" allowBlank="1" showInputMessage="1" showErrorMessage="1" sqref="D4:D18 D20:D22" xr:uid="{19E0E6A1-691C-4D9A-8C22-F6A2082EC17C}">
      <formula1>SpecType</formula1>
    </dataValidation>
    <dataValidation type="list" allowBlank="1" showInputMessage="1" showErrorMessage="1" sqref="F4:F5" xr:uid="{00000000-0002-0000-1B00-000003000000}">
      <formula1>AvailabilityType</formula1>
    </dataValidation>
  </dataValidations>
  <pageMargins left="0.7" right="0.7" top="0.75" bottom="0.75" header="0.3" footer="0.3"/>
  <pageSetup scale="46" fitToHeight="0" orientation="portrait" r:id="rId1"/>
  <headerFooter>
    <oddHeader>&amp;CGCCDA
&amp;F&amp;R&amp;A</oddHeader>
    <oddFooter>&amp;LTSSI Consulting LLC, March 2026&amp;CPage &amp;P of &amp;N</oddFooter>
  </headerFooter>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14">
    <tabColor rgb="FFFFCC00"/>
    <pageSetUpPr fitToPage="1"/>
  </sheetPr>
  <dimension ref="A1:M56"/>
  <sheetViews>
    <sheetView showGridLines="0" zoomScale="80" zoomScaleNormal="80" zoomScalePageLayoutView="40" workbookViewId="0">
      <selection activeCell="F4" sqref="F4"/>
    </sheetView>
  </sheetViews>
  <sheetFormatPr defaultColWidth="0" defaultRowHeight="15" zeroHeight="1" x14ac:dyDescent="0.25"/>
  <cols>
    <col min="1" max="1" width="0.7109375" customWidth="1"/>
    <col min="2" max="2" width="11.7109375" customWidth="1"/>
    <col min="3" max="3" width="11.42578125" customWidth="1"/>
    <col min="4" max="4" width="23.28515625" customWidth="1"/>
    <col min="5" max="5" width="70.7109375" style="63" customWidth="1"/>
    <col min="6" max="6" width="28.7109375" customWidth="1"/>
    <col min="7" max="7" width="15.42578125" style="64" hidden="1" customWidth="1"/>
    <col min="8" max="11" width="12.7109375" hidden="1" customWidth="1"/>
    <col min="12" max="12" width="49.42578125" customWidth="1"/>
    <col min="13" max="13" width="2" customWidth="1"/>
    <col min="14" max="16384" width="9.28515625" hidden="1"/>
  </cols>
  <sheetData>
    <row r="1" spans="2:12" ht="3" customHeight="1" x14ac:dyDescent="0.25"/>
    <row r="2" spans="2:12" s="71" customFormat="1" ht="129" customHeight="1" thickBot="1" x14ac:dyDescent="0.25">
      <c r="B2" s="65" t="s">
        <v>44</v>
      </c>
      <c r="C2" s="66" t="s">
        <v>45</v>
      </c>
      <c r="D2" s="66" t="s">
        <v>46</v>
      </c>
      <c r="E2" s="66" t="s">
        <v>444</v>
      </c>
      <c r="F2" s="66" t="s">
        <v>42</v>
      </c>
      <c r="G2" s="67" t="s">
        <v>48</v>
      </c>
      <c r="H2" s="67" t="s">
        <v>49</v>
      </c>
      <c r="I2" s="68" t="s">
        <v>50</v>
      </c>
      <c r="J2" s="68" t="s">
        <v>51</v>
      </c>
      <c r="K2" s="69" t="s">
        <v>14</v>
      </c>
      <c r="L2" s="70" t="s">
        <v>52</v>
      </c>
    </row>
    <row r="3" spans="2:12" ht="16.5" thickBot="1" x14ac:dyDescent="0.3">
      <c r="B3" s="72" t="s">
        <v>445</v>
      </c>
      <c r="C3" s="72"/>
      <c r="D3" s="72"/>
      <c r="E3" s="72"/>
      <c r="F3" s="72"/>
      <c r="G3" s="73" t="s">
        <v>54</v>
      </c>
      <c r="H3" s="74">
        <f>COUNTA(D4:D504)</f>
        <v>51</v>
      </c>
      <c r="I3" s="75"/>
      <c r="J3" s="76" t="s">
        <v>55</v>
      </c>
      <c r="K3" s="77">
        <f>SUM(K4:K504)</f>
        <v>0</v>
      </c>
      <c r="L3" s="72"/>
    </row>
    <row r="4" spans="2:12" ht="30" customHeight="1" x14ac:dyDescent="0.25">
      <c r="B4" s="78" t="s">
        <v>446</v>
      </c>
      <c r="C4" s="79">
        <v>1</v>
      </c>
      <c r="D4" s="80" t="s">
        <v>9</v>
      </c>
      <c r="E4" s="89" t="s">
        <v>447</v>
      </c>
      <c r="F4" s="223" t="s">
        <v>43</v>
      </c>
      <c r="G4" s="224" t="s">
        <v>57</v>
      </c>
      <c r="H4" s="225">
        <f>COUNTIF(F4:F504,"Select from Drop Down")</f>
        <v>51</v>
      </c>
      <c r="I4" s="226">
        <f>VLOOKUP($D4,SpecData,2,FALSE)</f>
        <v>3</v>
      </c>
      <c r="J4" s="227">
        <f>VLOOKUP($F4,AvailabilityData,2,FALSE)</f>
        <v>0</v>
      </c>
      <c r="K4" s="228">
        <f>I4*J4</f>
        <v>0</v>
      </c>
      <c r="L4" s="20"/>
    </row>
    <row r="5" spans="2:12" ht="47.25" customHeight="1" x14ac:dyDescent="0.25">
      <c r="B5" s="78" t="str">
        <f>IF(C5="","",$B$4)</f>
        <v>INCIC</v>
      </c>
      <c r="C5" s="79">
        <v>2</v>
      </c>
      <c r="D5" s="80" t="s">
        <v>9</v>
      </c>
      <c r="E5" s="89" t="s">
        <v>448</v>
      </c>
      <c r="F5" s="223" t="s">
        <v>43</v>
      </c>
      <c r="G5" s="224" t="s">
        <v>59</v>
      </c>
      <c r="H5" s="225">
        <f>COUNTIF(F4:F504,"Function Available")</f>
        <v>0</v>
      </c>
      <c r="I5" s="226">
        <f>VLOOKUP($D5,SpecData,2,FALSE)</f>
        <v>3</v>
      </c>
      <c r="J5" s="227">
        <f>VLOOKUP($F5,AvailabilityData,2,FALSE)</f>
        <v>0</v>
      </c>
      <c r="K5" s="228">
        <f>I5*J5</f>
        <v>0</v>
      </c>
      <c r="L5" s="20"/>
    </row>
    <row r="6" spans="2:12" ht="30" customHeight="1" x14ac:dyDescent="0.25">
      <c r="B6" s="78" t="str">
        <f t="shared" ref="B6:B55" si="0">IF(C6="","",$B$4)</f>
        <v>INCIC</v>
      </c>
      <c r="C6" s="79">
        <v>3</v>
      </c>
      <c r="D6" s="80" t="s">
        <v>9</v>
      </c>
      <c r="E6" s="89" t="s">
        <v>547</v>
      </c>
      <c r="F6" s="223" t="s">
        <v>43</v>
      </c>
      <c r="G6" s="224" t="s">
        <v>61</v>
      </c>
      <c r="H6" s="231">
        <f>COUNTIF(F4:F504,"Function Not Available")</f>
        <v>0</v>
      </c>
      <c r="I6" s="226">
        <f t="shared" ref="I6:I12" si="1">VLOOKUP($D6,SpecData,2,FALSE)</f>
        <v>3</v>
      </c>
      <c r="J6" s="227">
        <f t="shared" ref="J6:J12" si="2">VLOOKUP($F6,AvailabilityData,2,FALSE)</f>
        <v>0</v>
      </c>
      <c r="K6" s="250">
        <f t="shared" ref="K6:K12" si="3">I6*J6</f>
        <v>0</v>
      </c>
      <c r="L6" s="20"/>
    </row>
    <row r="7" spans="2:12" ht="30" customHeight="1" x14ac:dyDescent="0.25">
      <c r="B7" s="78" t="str">
        <f t="shared" si="0"/>
        <v>INCIC</v>
      </c>
      <c r="C7" s="79">
        <f>IF(ISTEXT(D7),MAX($C$6:$C6)+1,"")</f>
        <v>4</v>
      </c>
      <c r="D7" s="80" t="s">
        <v>9</v>
      </c>
      <c r="E7" s="89" t="s">
        <v>449</v>
      </c>
      <c r="F7" s="223" t="s">
        <v>43</v>
      </c>
      <c r="G7" s="224" t="s">
        <v>63</v>
      </c>
      <c r="H7" s="231">
        <f>COUNTIF(F4:F504,"Exception")</f>
        <v>0</v>
      </c>
      <c r="I7" s="226">
        <f t="shared" si="1"/>
        <v>3</v>
      </c>
      <c r="J7" s="227">
        <f t="shared" si="2"/>
        <v>0</v>
      </c>
      <c r="K7" s="228">
        <f t="shared" si="3"/>
        <v>0</v>
      </c>
      <c r="L7" s="20"/>
    </row>
    <row r="8" spans="2:12" ht="30" customHeight="1" x14ac:dyDescent="0.25">
      <c r="B8" s="78" t="str">
        <f t="shared" si="0"/>
        <v>INCIC</v>
      </c>
      <c r="C8" s="79">
        <f>IF(ISTEXT(D8),MAX($C$6:$C7)+1,"")</f>
        <v>5</v>
      </c>
      <c r="D8" s="80" t="s">
        <v>9</v>
      </c>
      <c r="E8" s="154" t="s">
        <v>450</v>
      </c>
      <c r="F8" s="223" t="s">
        <v>43</v>
      </c>
      <c r="G8" s="224" t="s">
        <v>65</v>
      </c>
      <c r="H8" s="232">
        <f>COUNTIFS(D:D,"=Crucial",F:F,"=Select From Drop Down")</f>
        <v>14</v>
      </c>
      <c r="I8" s="226">
        <f t="shared" si="1"/>
        <v>3</v>
      </c>
      <c r="J8" s="227">
        <f t="shared" si="2"/>
        <v>0</v>
      </c>
      <c r="K8" s="250">
        <f t="shared" si="3"/>
        <v>0</v>
      </c>
      <c r="L8" s="20"/>
    </row>
    <row r="9" spans="2:12" ht="30" customHeight="1" x14ac:dyDescent="0.25">
      <c r="B9" s="78" t="str">
        <f t="shared" si="0"/>
        <v>INCIC</v>
      </c>
      <c r="C9" s="79">
        <f>IF(ISTEXT(D9),MAX($C$6:$C8)+1,"")</f>
        <v>6</v>
      </c>
      <c r="D9" s="80" t="s">
        <v>9</v>
      </c>
      <c r="E9" s="154" t="s">
        <v>451</v>
      </c>
      <c r="F9" s="223" t="s">
        <v>43</v>
      </c>
      <c r="G9" s="224" t="s">
        <v>67</v>
      </c>
      <c r="H9" s="232">
        <f>COUNTIFS(D:D,"=Crucial",F:F,"=Function Available")</f>
        <v>0</v>
      </c>
      <c r="I9" s="226">
        <f t="shared" si="1"/>
        <v>3</v>
      </c>
      <c r="J9" s="227">
        <f t="shared" si="2"/>
        <v>0</v>
      </c>
      <c r="K9" s="250">
        <f t="shared" si="3"/>
        <v>0</v>
      </c>
      <c r="L9" s="20"/>
    </row>
    <row r="10" spans="2:12" ht="30" customHeight="1" x14ac:dyDescent="0.25">
      <c r="B10" s="78" t="str">
        <f t="shared" si="0"/>
        <v>INCIC</v>
      </c>
      <c r="C10" s="79">
        <f>IF(ISTEXT(D10),MAX($C$6:$C9)+1,"")</f>
        <v>7</v>
      </c>
      <c r="D10" s="80" t="s">
        <v>9</v>
      </c>
      <c r="E10" s="154" t="s">
        <v>452</v>
      </c>
      <c r="F10" s="223" t="s">
        <v>43</v>
      </c>
      <c r="G10" s="224" t="s">
        <v>69</v>
      </c>
      <c r="H10" s="232">
        <f>COUNTIFS(D:D,"=Crucial",F:F,"=Function Not Available")</f>
        <v>0</v>
      </c>
      <c r="I10" s="226">
        <f t="shared" si="1"/>
        <v>3</v>
      </c>
      <c r="J10" s="227">
        <f t="shared" si="2"/>
        <v>0</v>
      </c>
      <c r="K10" s="250">
        <f t="shared" si="3"/>
        <v>0</v>
      </c>
      <c r="L10" s="20"/>
    </row>
    <row r="11" spans="2:12" ht="30" customHeight="1" x14ac:dyDescent="0.25">
      <c r="B11" s="78" t="str">
        <f t="shared" si="0"/>
        <v>INCIC</v>
      </c>
      <c r="C11" s="79">
        <f>IF(ISTEXT(D11),MAX($C$6:$C10)+1,"")</f>
        <v>8</v>
      </c>
      <c r="D11" s="80" t="s">
        <v>9</v>
      </c>
      <c r="E11" s="154" t="s">
        <v>453</v>
      </c>
      <c r="F11" s="223" t="s">
        <v>43</v>
      </c>
      <c r="G11" s="241" t="s">
        <v>70</v>
      </c>
      <c r="H11" s="251">
        <f>COUNTIFS(D:D,"=Crucial",F:F,"=Exception")</f>
        <v>0</v>
      </c>
      <c r="I11" s="252">
        <f t="shared" si="1"/>
        <v>3</v>
      </c>
      <c r="J11" s="253">
        <f t="shared" si="2"/>
        <v>0</v>
      </c>
      <c r="K11" s="254">
        <f t="shared" si="3"/>
        <v>0</v>
      </c>
      <c r="L11" s="22"/>
    </row>
    <row r="12" spans="2:12" ht="30" customHeight="1" x14ac:dyDescent="0.25">
      <c r="B12" s="78" t="str">
        <f t="shared" si="0"/>
        <v>INCIC</v>
      </c>
      <c r="C12" s="79">
        <f>IF(ISTEXT(D12),MAX($C$6:$C11)+1,"")</f>
        <v>9</v>
      </c>
      <c r="D12" s="80" t="s">
        <v>9</v>
      </c>
      <c r="E12" s="154" t="s">
        <v>454</v>
      </c>
      <c r="F12" s="223" t="s">
        <v>43</v>
      </c>
      <c r="G12" s="283" t="s">
        <v>72</v>
      </c>
      <c r="H12" s="289">
        <f>COUNTIFS(D:D,"=Important",F:F,"=Select From Drop Down")</f>
        <v>23</v>
      </c>
      <c r="I12" s="290">
        <f t="shared" si="1"/>
        <v>3</v>
      </c>
      <c r="J12" s="291">
        <f t="shared" si="2"/>
        <v>0</v>
      </c>
      <c r="K12" s="292">
        <f t="shared" si="3"/>
        <v>0</v>
      </c>
      <c r="L12" s="23"/>
    </row>
    <row r="13" spans="2:12" ht="30" customHeight="1" x14ac:dyDescent="0.25">
      <c r="B13" s="126"/>
      <c r="C13" s="126"/>
      <c r="D13" s="126"/>
      <c r="E13" s="127" t="s">
        <v>648</v>
      </c>
      <c r="F13" s="128"/>
      <c r="G13" s="129"/>
      <c r="H13" s="129"/>
      <c r="I13" s="129"/>
      <c r="J13" s="129"/>
      <c r="K13" s="129"/>
      <c r="L13" s="129"/>
    </row>
    <row r="14" spans="2:12" ht="30" customHeight="1" x14ac:dyDescent="0.25">
      <c r="B14" s="78" t="str">
        <f t="shared" si="0"/>
        <v>INCIC</v>
      </c>
      <c r="C14" s="79">
        <f>IF(ISTEXT(D14),MAX($C$6:$C13)+1,"")</f>
        <v>10</v>
      </c>
      <c r="D14" s="80" t="s">
        <v>10</v>
      </c>
      <c r="E14" s="151" t="s">
        <v>673</v>
      </c>
      <c r="F14" s="237" t="s">
        <v>43</v>
      </c>
      <c r="G14" s="233" t="s">
        <v>74</v>
      </c>
      <c r="H14" s="234">
        <f>COUNTIFS(D:D,"=Important",F:F,"=Function Available")</f>
        <v>0</v>
      </c>
      <c r="I14" s="290">
        <f>VLOOKUP($D14,SpecData,2,FALSE)</f>
        <v>2</v>
      </c>
      <c r="J14" s="290">
        <f>VLOOKUP($F14,AvailabilityData,2,FALSE)</f>
        <v>0</v>
      </c>
      <c r="K14" s="290">
        <f t="shared" ref="K14:K16" si="4">I14*J14</f>
        <v>0</v>
      </c>
      <c r="L14" s="20"/>
    </row>
    <row r="15" spans="2:12" ht="30" customHeight="1" x14ac:dyDescent="0.25">
      <c r="B15" s="78" t="str">
        <f t="shared" si="0"/>
        <v>INCIC</v>
      </c>
      <c r="C15" s="79">
        <f>IF(ISTEXT(D15),MAX($C$6:$C14)+1,"")</f>
        <v>11</v>
      </c>
      <c r="D15" s="80" t="s">
        <v>10</v>
      </c>
      <c r="E15" s="150" t="s">
        <v>674</v>
      </c>
      <c r="F15" s="237" t="s">
        <v>43</v>
      </c>
      <c r="G15" s="224" t="s">
        <v>76</v>
      </c>
      <c r="H15" s="232">
        <f>COUNTIFS(D:D,"=Important",F:F,"=Function Not Available")</f>
        <v>0</v>
      </c>
      <c r="I15" s="290">
        <f>VLOOKUP($D15,SpecData,2,FALSE)</f>
        <v>2</v>
      </c>
      <c r="J15" s="290">
        <f>VLOOKUP($F15,AvailabilityData,2,FALSE)</f>
        <v>0</v>
      </c>
      <c r="K15" s="290">
        <f t="shared" si="4"/>
        <v>0</v>
      </c>
      <c r="L15" s="20"/>
    </row>
    <row r="16" spans="2:12" ht="30" customHeight="1" x14ac:dyDescent="0.25">
      <c r="B16" s="78" t="str">
        <f t="shared" si="0"/>
        <v>INCIC</v>
      </c>
      <c r="C16" s="79">
        <f>IF(ISTEXT(D16),MAX($C$6:$C15)+1,"")</f>
        <v>12</v>
      </c>
      <c r="D16" s="80" t="s">
        <v>10</v>
      </c>
      <c r="E16" s="150" t="s">
        <v>675</v>
      </c>
      <c r="F16" s="237" t="s">
        <v>43</v>
      </c>
      <c r="G16" s="224" t="s">
        <v>77</v>
      </c>
      <c r="H16" s="232">
        <f>COUNTIFS(D:D,"=Important",F:F,"=Exception")</f>
        <v>0</v>
      </c>
      <c r="I16" s="290">
        <f>VLOOKUP($D16,SpecData,2,FALSE)</f>
        <v>2</v>
      </c>
      <c r="J16" s="290">
        <f>VLOOKUP($F16,AvailabilityData,2,FALSE)</f>
        <v>0</v>
      </c>
      <c r="K16" s="290">
        <f t="shared" si="4"/>
        <v>0</v>
      </c>
      <c r="L16" s="20"/>
    </row>
    <row r="17" spans="2:12" ht="30" customHeight="1" x14ac:dyDescent="0.25">
      <c r="B17" s="78" t="str">
        <f t="shared" si="0"/>
        <v>INCIC</v>
      </c>
      <c r="C17" s="79">
        <f>IF(ISTEXT(D17),MAX($C$6:$C16)+1,"")</f>
        <v>13</v>
      </c>
      <c r="D17" s="80" t="s">
        <v>10</v>
      </c>
      <c r="E17" s="150" t="s">
        <v>620</v>
      </c>
      <c r="F17" s="223" t="s">
        <v>43</v>
      </c>
      <c r="G17" s="224" t="s">
        <v>78</v>
      </c>
      <c r="H17" s="232">
        <f>COUNTIFS(D:D,"=Minimal",F:F,"=Select From Drop Down")</f>
        <v>14</v>
      </c>
      <c r="I17" s="290">
        <f t="shared" ref="I17:I28" si="5">VLOOKUP($D17,SpecData,2,FALSE)</f>
        <v>2</v>
      </c>
      <c r="J17" s="290">
        <f t="shared" ref="J17:J28" si="6">VLOOKUP($F17,AvailabilityData,2,FALSE)</f>
        <v>0</v>
      </c>
      <c r="K17" s="290">
        <f t="shared" ref="K17:K36" si="7">I17*J17</f>
        <v>0</v>
      </c>
      <c r="L17" s="25"/>
    </row>
    <row r="18" spans="2:12" ht="30" customHeight="1" x14ac:dyDescent="0.25">
      <c r="B18" s="78" t="str">
        <f t="shared" si="0"/>
        <v>INCIC</v>
      </c>
      <c r="C18" s="79">
        <f>IF(ISTEXT(D18),MAX($C$6:$C17)+1,"")</f>
        <v>14</v>
      </c>
      <c r="D18" s="80" t="s">
        <v>10</v>
      </c>
      <c r="E18" s="150" t="s">
        <v>621</v>
      </c>
      <c r="F18" s="223" t="s">
        <v>43</v>
      </c>
      <c r="G18" s="224" t="s">
        <v>80</v>
      </c>
      <c r="H18" s="232">
        <f>COUNTIFS(D:D,"=Minimal",F:F,"=Function Available")</f>
        <v>0</v>
      </c>
      <c r="I18" s="235">
        <f t="shared" si="5"/>
        <v>2</v>
      </c>
      <c r="J18" s="236">
        <f t="shared" si="6"/>
        <v>0</v>
      </c>
      <c r="K18" s="250">
        <f t="shared" si="7"/>
        <v>0</v>
      </c>
      <c r="L18" s="20"/>
    </row>
    <row r="19" spans="2:12" ht="30" customHeight="1" x14ac:dyDescent="0.25">
      <c r="B19" s="78" t="str">
        <f t="shared" si="0"/>
        <v>INCIC</v>
      </c>
      <c r="C19" s="79">
        <f>IF(ISTEXT(D19),MAX($C$6:$C18)+1,"")</f>
        <v>15</v>
      </c>
      <c r="D19" s="80" t="s">
        <v>10</v>
      </c>
      <c r="E19" s="150" t="s">
        <v>627</v>
      </c>
      <c r="F19" s="223" t="s">
        <v>43</v>
      </c>
      <c r="G19" s="224" t="s">
        <v>82</v>
      </c>
      <c r="H19" s="232">
        <f>COUNTIFS(D:D,"=Minimal",F:F,"=Function Not Available")</f>
        <v>0</v>
      </c>
      <c r="I19" s="235">
        <f t="shared" si="5"/>
        <v>2</v>
      </c>
      <c r="J19" s="236">
        <f t="shared" si="6"/>
        <v>0</v>
      </c>
      <c r="K19" s="250">
        <f t="shared" si="7"/>
        <v>0</v>
      </c>
      <c r="L19" s="20"/>
    </row>
    <row r="20" spans="2:12" ht="30" customHeight="1" x14ac:dyDescent="0.25">
      <c r="B20" s="78" t="str">
        <f t="shared" si="0"/>
        <v>INCIC</v>
      </c>
      <c r="C20" s="79">
        <f>IF(ISTEXT(D20),MAX($C$6:$C19)+1,"")</f>
        <v>16</v>
      </c>
      <c r="D20" s="80" t="s">
        <v>10</v>
      </c>
      <c r="E20" s="150" t="s">
        <v>622</v>
      </c>
      <c r="F20" s="223" t="s">
        <v>43</v>
      </c>
      <c r="G20" s="224" t="s">
        <v>83</v>
      </c>
      <c r="H20" s="232">
        <f>COUNTIFS(D:D,"=Minimal",F:F,"=Exception")</f>
        <v>0</v>
      </c>
      <c r="I20" s="235">
        <f t="shared" si="5"/>
        <v>2</v>
      </c>
      <c r="J20" s="236">
        <f t="shared" si="6"/>
        <v>0</v>
      </c>
      <c r="K20" s="250">
        <f t="shared" si="7"/>
        <v>0</v>
      </c>
      <c r="L20" s="20"/>
    </row>
    <row r="21" spans="2:12" ht="30" customHeight="1" x14ac:dyDescent="0.25">
      <c r="B21" s="78" t="str">
        <f t="shared" si="0"/>
        <v>INCIC</v>
      </c>
      <c r="C21" s="79">
        <f>IF(ISTEXT(D21),MAX($C$6:$C20)+1,"")</f>
        <v>17</v>
      </c>
      <c r="D21" s="80" t="s">
        <v>10</v>
      </c>
      <c r="E21" s="150" t="s">
        <v>623</v>
      </c>
      <c r="F21" s="223" t="s">
        <v>43</v>
      </c>
      <c r="G21" s="224"/>
      <c r="H21" s="232"/>
      <c r="I21" s="235">
        <f t="shared" si="5"/>
        <v>2</v>
      </c>
      <c r="J21" s="236">
        <f t="shared" si="6"/>
        <v>0</v>
      </c>
      <c r="K21" s="250">
        <f t="shared" si="7"/>
        <v>0</v>
      </c>
      <c r="L21" s="20"/>
    </row>
    <row r="22" spans="2:12" ht="30" customHeight="1" x14ac:dyDescent="0.25">
      <c r="B22" s="78" t="str">
        <f t="shared" si="0"/>
        <v>INCIC</v>
      </c>
      <c r="C22" s="79">
        <f>IF(ISTEXT(D22),MAX($C$6:$C21)+1,"")</f>
        <v>18</v>
      </c>
      <c r="D22" s="80" t="s">
        <v>10</v>
      </c>
      <c r="E22" s="150" t="s">
        <v>624</v>
      </c>
      <c r="F22" s="223" t="s">
        <v>43</v>
      </c>
      <c r="G22" s="224"/>
      <c r="H22" s="232"/>
      <c r="I22" s="235">
        <f t="shared" si="5"/>
        <v>2</v>
      </c>
      <c r="J22" s="236">
        <f t="shared" si="6"/>
        <v>0</v>
      </c>
      <c r="K22" s="250">
        <f t="shared" si="7"/>
        <v>0</v>
      </c>
      <c r="L22" s="20"/>
    </row>
    <row r="23" spans="2:12" ht="30" customHeight="1" x14ac:dyDescent="0.25">
      <c r="B23" s="78" t="str">
        <f t="shared" si="0"/>
        <v>INCIC</v>
      </c>
      <c r="C23" s="79">
        <f>IF(ISTEXT(D23),MAX($C$6:$C22)+1,"")</f>
        <v>19</v>
      </c>
      <c r="D23" s="80" t="s">
        <v>10</v>
      </c>
      <c r="E23" s="150" t="s">
        <v>625</v>
      </c>
      <c r="F23" s="223" t="s">
        <v>43</v>
      </c>
      <c r="G23" s="224"/>
      <c r="H23" s="232"/>
      <c r="I23" s="235">
        <f t="shared" si="5"/>
        <v>2</v>
      </c>
      <c r="J23" s="236">
        <f t="shared" si="6"/>
        <v>0</v>
      </c>
      <c r="K23" s="250">
        <f t="shared" si="7"/>
        <v>0</v>
      </c>
      <c r="L23" s="20"/>
    </row>
    <row r="24" spans="2:12" ht="30" customHeight="1" x14ac:dyDescent="0.25">
      <c r="B24" s="78" t="str">
        <f t="shared" si="0"/>
        <v>INCIC</v>
      </c>
      <c r="C24" s="79">
        <f>IF(ISTEXT(D24),MAX($C$6:$C23)+1,"")</f>
        <v>20</v>
      </c>
      <c r="D24" s="80" t="s">
        <v>10</v>
      </c>
      <c r="E24" s="150" t="s">
        <v>626</v>
      </c>
      <c r="F24" s="223" t="s">
        <v>43</v>
      </c>
      <c r="G24" s="224"/>
      <c r="H24" s="231"/>
      <c r="I24" s="235">
        <f t="shared" si="5"/>
        <v>2</v>
      </c>
      <c r="J24" s="236">
        <f t="shared" si="6"/>
        <v>0</v>
      </c>
      <c r="K24" s="250">
        <f t="shared" si="7"/>
        <v>0</v>
      </c>
      <c r="L24" s="20"/>
    </row>
    <row r="25" spans="2:12" ht="55.15" customHeight="1" x14ac:dyDescent="0.25">
      <c r="B25" s="78" t="str">
        <f t="shared" si="0"/>
        <v>INCIC</v>
      </c>
      <c r="C25" s="79">
        <f>IF(ISTEXT(D25),MAX($C$6:$C24)+1,"")</f>
        <v>21</v>
      </c>
      <c r="D25" s="80" t="s">
        <v>9</v>
      </c>
      <c r="E25" s="89" t="s">
        <v>649</v>
      </c>
      <c r="F25" s="223" t="s">
        <v>43</v>
      </c>
      <c r="G25" s="224"/>
      <c r="H25" s="231"/>
      <c r="I25" s="235">
        <f t="shared" si="5"/>
        <v>3</v>
      </c>
      <c r="J25" s="236">
        <f t="shared" si="6"/>
        <v>0</v>
      </c>
      <c r="K25" s="250">
        <f t="shared" si="7"/>
        <v>0</v>
      </c>
      <c r="L25" s="20"/>
    </row>
    <row r="26" spans="2:12" ht="40.15" customHeight="1" x14ac:dyDescent="0.25">
      <c r="B26" s="78" t="str">
        <f t="shared" si="0"/>
        <v>INCIC</v>
      </c>
      <c r="C26" s="79">
        <f>IF(ISTEXT(D26),MAX($C$6:$C25)+1,"")</f>
        <v>22</v>
      </c>
      <c r="D26" s="80" t="s">
        <v>9</v>
      </c>
      <c r="E26" s="89" t="s">
        <v>455</v>
      </c>
      <c r="F26" s="223" t="s">
        <v>43</v>
      </c>
      <c r="G26" s="224"/>
      <c r="H26" s="231"/>
      <c r="I26" s="235">
        <f t="shared" si="5"/>
        <v>3</v>
      </c>
      <c r="J26" s="236">
        <f t="shared" si="6"/>
        <v>0</v>
      </c>
      <c r="K26" s="250">
        <f t="shared" si="7"/>
        <v>0</v>
      </c>
      <c r="L26" s="20"/>
    </row>
    <row r="27" spans="2:12" ht="63.75" customHeight="1" x14ac:dyDescent="0.25">
      <c r="B27" s="78" t="str">
        <f t="shared" si="0"/>
        <v>INCIC</v>
      </c>
      <c r="C27" s="79">
        <f>IF(ISTEXT(D27),MAX($C$6:$C26)+1,"")</f>
        <v>23</v>
      </c>
      <c r="D27" s="80" t="s">
        <v>9</v>
      </c>
      <c r="E27" s="89" t="s">
        <v>650</v>
      </c>
      <c r="F27" s="223" t="s">
        <v>43</v>
      </c>
      <c r="G27" s="224"/>
      <c r="H27" s="231"/>
      <c r="I27" s="235">
        <f t="shared" si="5"/>
        <v>3</v>
      </c>
      <c r="J27" s="236">
        <f t="shared" si="6"/>
        <v>0</v>
      </c>
      <c r="K27" s="250">
        <f t="shared" si="7"/>
        <v>0</v>
      </c>
      <c r="L27" s="20"/>
    </row>
    <row r="28" spans="2:12" ht="30" customHeight="1" x14ac:dyDescent="0.25">
      <c r="B28" s="78" t="str">
        <f t="shared" si="0"/>
        <v>INCIC</v>
      </c>
      <c r="C28" s="79">
        <f>IF(ISTEXT(D28),MAX($C$6:$C27)+1,"")</f>
        <v>24</v>
      </c>
      <c r="D28" s="80" t="s">
        <v>9</v>
      </c>
      <c r="E28" s="89" t="s">
        <v>456</v>
      </c>
      <c r="F28" s="223" t="s">
        <v>43</v>
      </c>
      <c r="G28" s="241"/>
      <c r="H28" s="242"/>
      <c r="I28" s="238">
        <f t="shared" si="5"/>
        <v>3</v>
      </c>
      <c r="J28" s="239">
        <f t="shared" si="6"/>
        <v>0</v>
      </c>
      <c r="K28" s="254">
        <f t="shared" si="7"/>
        <v>0</v>
      </c>
      <c r="L28" s="20"/>
    </row>
    <row r="29" spans="2:12" ht="30" customHeight="1" x14ac:dyDescent="0.25">
      <c r="B29" s="78" t="str">
        <f t="shared" si="0"/>
        <v>INCIC</v>
      </c>
      <c r="C29" s="79">
        <f>IF(ISTEXT(D29),MAX($C$6:$C28)+1,"")</f>
        <v>25</v>
      </c>
      <c r="D29" s="80" t="s">
        <v>10</v>
      </c>
      <c r="E29" s="89" t="s">
        <v>457</v>
      </c>
      <c r="F29" s="223" t="s">
        <v>43</v>
      </c>
      <c r="G29" s="233"/>
      <c r="H29" s="255"/>
      <c r="I29" s="226">
        <f t="shared" ref="I29:I36" si="8">VLOOKUP($D29,SpecData,2,FALSE)</f>
        <v>2</v>
      </c>
      <c r="J29" s="227">
        <f t="shared" ref="J29:J36" si="9">VLOOKUP($F29,AvailabilityData,2,FALSE)</f>
        <v>0</v>
      </c>
      <c r="K29" s="228">
        <f t="shared" si="7"/>
        <v>0</v>
      </c>
      <c r="L29" s="20"/>
    </row>
    <row r="30" spans="2:12" ht="44.25" customHeight="1" x14ac:dyDescent="0.25">
      <c r="B30" s="78" t="str">
        <f t="shared" si="0"/>
        <v>INCIC</v>
      </c>
      <c r="C30" s="79">
        <f>IF(ISTEXT(D30),MAX($C$6:$C29)+1,"")</f>
        <v>26</v>
      </c>
      <c r="D30" s="80" t="s">
        <v>11</v>
      </c>
      <c r="E30" s="207" t="s">
        <v>458</v>
      </c>
      <c r="F30" s="223" t="s">
        <v>43</v>
      </c>
      <c r="G30" s="224"/>
      <c r="H30" s="231"/>
      <c r="I30" s="235">
        <f t="shared" si="8"/>
        <v>1</v>
      </c>
      <c r="J30" s="236">
        <f t="shared" si="9"/>
        <v>0</v>
      </c>
      <c r="K30" s="250">
        <f t="shared" si="7"/>
        <v>0</v>
      </c>
      <c r="L30" s="20"/>
    </row>
    <row r="31" spans="2:12" ht="44.25" customHeight="1" x14ac:dyDescent="0.25">
      <c r="B31" s="78" t="str">
        <f t="shared" si="0"/>
        <v>INCIC</v>
      </c>
      <c r="C31" s="79">
        <f>IF(ISTEXT(D31),MAX($C$6:$C30)+1,"")</f>
        <v>27</v>
      </c>
      <c r="D31" s="80" t="s">
        <v>10</v>
      </c>
      <c r="E31" s="89" t="s">
        <v>459</v>
      </c>
      <c r="F31" s="223" t="s">
        <v>43</v>
      </c>
      <c r="G31" s="224"/>
      <c r="H31" s="231"/>
      <c r="I31" s="235">
        <f t="shared" si="8"/>
        <v>2</v>
      </c>
      <c r="J31" s="236">
        <f t="shared" si="9"/>
        <v>0</v>
      </c>
      <c r="K31" s="250">
        <f t="shared" si="7"/>
        <v>0</v>
      </c>
      <c r="L31" s="20"/>
    </row>
    <row r="32" spans="2:12" ht="44.25" customHeight="1" x14ac:dyDescent="0.25">
      <c r="B32" s="78" t="str">
        <f t="shared" si="0"/>
        <v>INCIC</v>
      </c>
      <c r="C32" s="79">
        <f>IF(ISTEXT(D32),MAX($C$6:$C31)+1,"")</f>
        <v>28</v>
      </c>
      <c r="D32" s="80" t="s">
        <v>10</v>
      </c>
      <c r="E32" s="89" t="s">
        <v>460</v>
      </c>
      <c r="F32" s="223" t="s">
        <v>43</v>
      </c>
      <c r="G32" s="224"/>
      <c r="H32" s="231"/>
      <c r="I32" s="235">
        <f t="shared" si="8"/>
        <v>2</v>
      </c>
      <c r="J32" s="236">
        <f t="shared" si="9"/>
        <v>0</v>
      </c>
      <c r="K32" s="250">
        <f t="shared" si="7"/>
        <v>0</v>
      </c>
      <c r="L32" s="20"/>
    </row>
    <row r="33" spans="2:12" ht="44.25" customHeight="1" x14ac:dyDescent="0.25">
      <c r="B33" s="78" t="str">
        <f t="shared" si="0"/>
        <v>INCIC</v>
      </c>
      <c r="C33" s="79">
        <f>IF(ISTEXT(D33),MAX($C$6:$C32)+1,"")</f>
        <v>29</v>
      </c>
      <c r="D33" s="80" t="s">
        <v>10</v>
      </c>
      <c r="E33" s="89" t="s">
        <v>461</v>
      </c>
      <c r="F33" s="223" t="s">
        <v>43</v>
      </c>
      <c r="G33" s="224"/>
      <c r="H33" s="231"/>
      <c r="I33" s="235">
        <f t="shared" si="8"/>
        <v>2</v>
      </c>
      <c r="J33" s="236">
        <f t="shared" si="9"/>
        <v>0</v>
      </c>
      <c r="K33" s="250">
        <f t="shared" si="7"/>
        <v>0</v>
      </c>
      <c r="L33" s="20"/>
    </row>
    <row r="34" spans="2:12" ht="44.25" customHeight="1" x14ac:dyDescent="0.25">
      <c r="B34" s="78" t="str">
        <f t="shared" si="0"/>
        <v>INCIC</v>
      </c>
      <c r="C34" s="79">
        <f>IF(ISTEXT(D34),MAX($C$6:$C33)+1,"")</f>
        <v>30</v>
      </c>
      <c r="D34" s="80" t="s">
        <v>10</v>
      </c>
      <c r="E34" s="89" t="s">
        <v>462</v>
      </c>
      <c r="F34" s="223" t="s">
        <v>43</v>
      </c>
      <c r="G34" s="224"/>
      <c r="H34" s="231"/>
      <c r="I34" s="235">
        <f t="shared" si="8"/>
        <v>2</v>
      </c>
      <c r="J34" s="236">
        <f t="shared" si="9"/>
        <v>0</v>
      </c>
      <c r="K34" s="250">
        <f t="shared" si="7"/>
        <v>0</v>
      </c>
      <c r="L34" s="20"/>
    </row>
    <row r="35" spans="2:12" ht="30" customHeight="1" x14ac:dyDescent="0.25">
      <c r="B35" s="78" t="str">
        <f t="shared" si="0"/>
        <v>INCIC</v>
      </c>
      <c r="C35" s="79">
        <f>IF(ISTEXT(D35),MAX($C$6:$C34)+1,"")</f>
        <v>31</v>
      </c>
      <c r="D35" s="80" t="s">
        <v>10</v>
      </c>
      <c r="E35" s="89" t="s">
        <v>463</v>
      </c>
      <c r="F35" s="223" t="s">
        <v>43</v>
      </c>
      <c r="G35" s="224"/>
      <c r="H35" s="231"/>
      <c r="I35" s="235">
        <f t="shared" si="8"/>
        <v>2</v>
      </c>
      <c r="J35" s="236">
        <f t="shared" si="9"/>
        <v>0</v>
      </c>
      <c r="K35" s="250">
        <f t="shared" si="7"/>
        <v>0</v>
      </c>
      <c r="L35" s="20"/>
    </row>
    <row r="36" spans="2:12" ht="30" customHeight="1" x14ac:dyDescent="0.25">
      <c r="B36" s="78" t="str">
        <f t="shared" si="0"/>
        <v>INCIC</v>
      </c>
      <c r="C36" s="79">
        <f>IF(ISTEXT(D36),MAX($C$6:$C35)+1,"")</f>
        <v>32</v>
      </c>
      <c r="D36" s="80" t="s">
        <v>10</v>
      </c>
      <c r="E36" s="89" t="s">
        <v>464</v>
      </c>
      <c r="F36" s="223" t="s">
        <v>43</v>
      </c>
      <c r="G36" s="224"/>
      <c r="H36" s="231"/>
      <c r="I36" s="235">
        <f t="shared" si="8"/>
        <v>2</v>
      </c>
      <c r="J36" s="236">
        <f t="shared" si="9"/>
        <v>0</v>
      </c>
      <c r="K36" s="250">
        <f t="shared" si="7"/>
        <v>0</v>
      </c>
      <c r="L36" s="20"/>
    </row>
    <row r="37" spans="2:12" ht="30" customHeight="1" x14ac:dyDescent="0.25">
      <c r="B37" s="78" t="str">
        <f t="shared" si="0"/>
        <v>INCIC</v>
      </c>
      <c r="C37" s="79">
        <f>IF(ISTEXT(D37),MAX($C$6:$C36)+1,"")</f>
        <v>33</v>
      </c>
      <c r="D37" s="80" t="s">
        <v>11</v>
      </c>
      <c r="E37" s="89" t="s">
        <v>465</v>
      </c>
      <c r="F37" s="223" t="s">
        <v>43</v>
      </c>
      <c r="G37" s="224"/>
      <c r="H37" s="231"/>
      <c r="I37" s="235">
        <f t="shared" ref="I37:I42" si="10">VLOOKUP($D37,SpecData,2,FALSE)</f>
        <v>1</v>
      </c>
      <c r="J37" s="236">
        <f t="shared" ref="J37:J42" si="11">VLOOKUP($F37,AvailabilityData,2,FALSE)</f>
        <v>0</v>
      </c>
      <c r="K37" s="250">
        <f>I37*J37</f>
        <v>0</v>
      </c>
      <c r="L37" s="20"/>
    </row>
    <row r="38" spans="2:12" ht="30" customHeight="1" x14ac:dyDescent="0.25">
      <c r="B38" s="78" t="str">
        <f t="shared" si="0"/>
        <v>INCIC</v>
      </c>
      <c r="C38" s="79">
        <f>IF(ISTEXT(D38),MAX($C$6:$C37)+1,"")</f>
        <v>34</v>
      </c>
      <c r="D38" s="80" t="s">
        <v>11</v>
      </c>
      <c r="E38" s="89" t="s">
        <v>466</v>
      </c>
      <c r="F38" s="223" t="s">
        <v>43</v>
      </c>
      <c r="G38" s="224"/>
      <c r="H38" s="231"/>
      <c r="I38" s="235">
        <f t="shared" si="10"/>
        <v>1</v>
      </c>
      <c r="J38" s="236">
        <f t="shared" si="11"/>
        <v>0</v>
      </c>
      <c r="K38" s="250">
        <f t="shared" ref="K38:K42" si="12">I38*J38</f>
        <v>0</v>
      </c>
      <c r="L38" s="20"/>
    </row>
    <row r="39" spans="2:12" ht="30" customHeight="1" x14ac:dyDescent="0.25">
      <c r="B39" s="78" t="str">
        <f t="shared" si="0"/>
        <v>INCIC</v>
      </c>
      <c r="C39" s="79">
        <f>IF(ISTEXT(D39),MAX($C$6:$C38)+1,"")</f>
        <v>35</v>
      </c>
      <c r="D39" s="80" t="s">
        <v>11</v>
      </c>
      <c r="E39" s="89" t="s">
        <v>467</v>
      </c>
      <c r="F39" s="223" t="s">
        <v>43</v>
      </c>
      <c r="G39" s="224"/>
      <c r="H39" s="231"/>
      <c r="I39" s="235">
        <f t="shared" si="10"/>
        <v>1</v>
      </c>
      <c r="J39" s="236">
        <f t="shared" si="11"/>
        <v>0</v>
      </c>
      <c r="K39" s="250">
        <f t="shared" si="12"/>
        <v>0</v>
      </c>
      <c r="L39" s="20"/>
    </row>
    <row r="40" spans="2:12" ht="30" customHeight="1" x14ac:dyDescent="0.25">
      <c r="B40" s="78" t="str">
        <f t="shared" si="0"/>
        <v>INCIC</v>
      </c>
      <c r="C40" s="79">
        <f>IF(ISTEXT(D40),MAX($C$6:$C39)+1,"")</f>
        <v>36</v>
      </c>
      <c r="D40" s="80" t="s">
        <v>11</v>
      </c>
      <c r="E40" s="89" t="s">
        <v>468</v>
      </c>
      <c r="F40" s="223" t="s">
        <v>43</v>
      </c>
      <c r="G40" s="224"/>
      <c r="H40" s="231"/>
      <c r="I40" s="235">
        <f t="shared" si="10"/>
        <v>1</v>
      </c>
      <c r="J40" s="236">
        <f t="shared" si="11"/>
        <v>0</v>
      </c>
      <c r="K40" s="250">
        <f t="shared" si="12"/>
        <v>0</v>
      </c>
      <c r="L40" s="20"/>
    </row>
    <row r="41" spans="2:12" ht="30" customHeight="1" x14ac:dyDescent="0.25">
      <c r="B41" s="78" t="str">
        <f t="shared" si="0"/>
        <v>INCIC</v>
      </c>
      <c r="C41" s="79">
        <f>IF(ISTEXT(D41),MAX($C$6:$C40)+1,"")</f>
        <v>37</v>
      </c>
      <c r="D41" s="80" t="s">
        <v>11</v>
      </c>
      <c r="E41" s="89" t="s">
        <v>469</v>
      </c>
      <c r="F41" s="223" t="s">
        <v>43</v>
      </c>
      <c r="G41" s="224"/>
      <c r="H41" s="231"/>
      <c r="I41" s="235">
        <f t="shared" si="10"/>
        <v>1</v>
      </c>
      <c r="J41" s="236">
        <f t="shared" si="11"/>
        <v>0</v>
      </c>
      <c r="K41" s="250">
        <f t="shared" si="12"/>
        <v>0</v>
      </c>
      <c r="L41" s="20"/>
    </row>
    <row r="42" spans="2:12" ht="30" customHeight="1" x14ac:dyDescent="0.25">
      <c r="B42" s="78" t="str">
        <f t="shared" si="0"/>
        <v>INCIC</v>
      </c>
      <c r="C42" s="79">
        <f>IF(ISTEXT(D42),MAX($C$6:$C41)+1,"")</f>
        <v>38</v>
      </c>
      <c r="D42" s="80" t="s">
        <v>11</v>
      </c>
      <c r="E42" s="89" t="s">
        <v>470</v>
      </c>
      <c r="F42" s="223" t="s">
        <v>43</v>
      </c>
      <c r="G42" s="224"/>
      <c r="H42" s="231"/>
      <c r="I42" s="235">
        <f t="shared" si="10"/>
        <v>1</v>
      </c>
      <c r="J42" s="236">
        <f t="shared" si="11"/>
        <v>0</v>
      </c>
      <c r="K42" s="250">
        <f t="shared" si="12"/>
        <v>0</v>
      </c>
      <c r="L42" s="21"/>
    </row>
    <row r="43" spans="2:12" ht="30" customHeight="1" x14ac:dyDescent="0.25">
      <c r="B43" s="78" t="str">
        <f t="shared" si="0"/>
        <v>INCIC</v>
      </c>
      <c r="C43" s="79">
        <f>IF(ISTEXT(D43),MAX($C$6:$C42)+1,"")</f>
        <v>39</v>
      </c>
      <c r="D43" s="80" t="s">
        <v>11</v>
      </c>
      <c r="E43" s="89" t="s">
        <v>471</v>
      </c>
      <c r="F43" s="223" t="s">
        <v>43</v>
      </c>
      <c r="G43" s="224"/>
      <c r="H43" s="231"/>
      <c r="I43" s="235">
        <f t="shared" ref="I43:I55" si="13">VLOOKUP($D43,SpecData,2,FALSE)</f>
        <v>1</v>
      </c>
      <c r="J43" s="236">
        <f t="shared" ref="J43:J55" si="14">VLOOKUP($F43,AvailabilityData,2,FALSE)</f>
        <v>0</v>
      </c>
      <c r="K43" s="250">
        <f>I43*J43</f>
        <v>0</v>
      </c>
      <c r="L43" s="20"/>
    </row>
    <row r="44" spans="2:12" ht="30" customHeight="1" x14ac:dyDescent="0.25">
      <c r="B44" s="78" t="str">
        <f t="shared" si="0"/>
        <v>INCIC</v>
      </c>
      <c r="C44" s="79">
        <f>IF(ISTEXT(D44),MAX($C$6:$C43)+1,"")</f>
        <v>40</v>
      </c>
      <c r="D44" s="80" t="s">
        <v>11</v>
      </c>
      <c r="E44" s="89" t="s">
        <v>472</v>
      </c>
      <c r="F44" s="223" t="s">
        <v>43</v>
      </c>
      <c r="G44" s="224"/>
      <c r="H44" s="231"/>
      <c r="I44" s="235">
        <f t="shared" si="13"/>
        <v>1</v>
      </c>
      <c r="J44" s="236">
        <f t="shared" si="14"/>
        <v>0</v>
      </c>
      <c r="K44" s="250">
        <f t="shared" ref="K44:K47" si="15">I44*J44</f>
        <v>0</v>
      </c>
      <c r="L44" s="20"/>
    </row>
    <row r="45" spans="2:12" ht="30" customHeight="1" x14ac:dyDescent="0.25">
      <c r="B45" s="78" t="str">
        <f t="shared" si="0"/>
        <v>INCIC</v>
      </c>
      <c r="C45" s="79">
        <f>IF(ISTEXT(D45),MAX($C$6:$C44)+1,"")</f>
        <v>41</v>
      </c>
      <c r="D45" s="80" t="s">
        <v>11</v>
      </c>
      <c r="E45" s="89" t="s">
        <v>473</v>
      </c>
      <c r="F45" s="223" t="s">
        <v>43</v>
      </c>
      <c r="G45" s="224"/>
      <c r="H45" s="231"/>
      <c r="I45" s="235">
        <f t="shared" si="13"/>
        <v>1</v>
      </c>
      <c r="J45" s="236">
        <f t="shared" si="14"/>
        <v>0</v>
      </c>
      <c r="K45" s="250">
        <f t="shared" si="15"/>
        <v>0</v>
      </c>
      <c r="L45" s="20"/>
    </row>
    <row r="46" spans="2:12" ht="44.25" customHeight="1" x14ac:dyDescent="0.25">
      <c r="B46" s="78" t="str">
        <f t="shared" si="0"/>
        <v>INCIC</v>
      </c>
      <c r="C46" s="79">
        <f>IF(ISTEXT(D46),MAX($C$6:$C45)+1,"")</f>
        <v>42</v>
      </c>
      <c r="D46" s="80" t="s">
        <v>9</v>
      </c>
      <c r="E46" s="89" t="s">
        <v>474</v>
      </c>
      <c r="F46" s="223" t="s">
        <v>43</v>
      </c>
      <c r="G46" s="224"/>
      <c r="H46" s="231"/>
      <c r="I46" s="235">
        <f t="shared" si="13"/>
        <v>3</v>
      </c>
      <c r="J46" s="236">
        <f t="shared" si="14"/>
        <v>0</v>
      </c>
      <c r="K46" s="250">
        <f t="shared" si="15"/>
        <v>0</v>
      </c>
      <c r="L46" s="20"/>
    </row>
    <row r="47" spans="2:12" ht="30" customHeight="1" x14ac:dyDescent="0.25">
      <c r="B47" s="78" t="str">
        <f t="shared" si="0"/>
        <v>INCIC</v>
      </c>
      <c r="C47" s="79">
        <f>IF(ISTEXT(D47),MAX($C$6:$C46)+1,"")</f>
        <v>43</v>
      </c>
      <c r="D47" s="80" t="s">
        <v>11</v>
      </c>
      <c r="E47" s="89" t="s">
        <v>475</v>
      </c>
      <c r="F47" s="223" t="s">
        <v>43</v>
      </c>
      <c r="G47" s="224"/>
      <c r="H47" s="231"/>
      <c r="I47" s="235">
        <f t="shared" si="13"/>
        <v>1</v>
      </c>
      <c r="J47" s="236">
        <f t="shared" si="14"/>
        <v>0</v>
      </c>
      <c r="K47" s="250">
        <f t="shared" si="15"/>
        <v>0</v>
      </c>
      <c r="L47" s="20"/>
    </row>
    <row r="48" spans="2:12" ht="30" customHeight="1" x14ac:dyDescent="0.25">
      <c r="B48" s="78" t="str">
        <f t="shared" si="0"/>
        <v>INCIC</v>
      </c>
      <c r="C48" s="79">
        <f>IF(ISTEXT(D48),MAX($C$6:$C47)+1,"")</f>
        <v>44</v>
      </c>
      <c r="D48" s="80" t="s">
        <v>11</v>
      </c>
      <c r="E48" s="89" t="s">
        <v>476</v>
      </c>
      <c r="F48" s="223" t="s">
        <v>43</v>
      </c>
      <c r="G48" s="233"/>
      <c r="H48" s="255"/>
      <c r="I48" s="226">
        <f t="shared" si="13"/>
        <v>1</v>
      </c>
      <c r="J48" s="227">
        <f t="shared" si="14"/>
        <v>0</v>
      </c>
      <c r="K48" s="228">
        <f>I48*J48</f>
        <v>0</v>
      </c>
      <c r="L48" s="20"/>
    </row>
    <row r="49" spans="2:12" ht="40.5" customHeight="1" x14ac:dyDescent="0.25">
      <c r="B49" s="78" t="str">
        <f t="shared" si="0"/>
        <v>INCIC</v>
      </c>
      <c r="C49" s="79">
        <f>IF(ISTEXT(D49),MAX($C$6:$C48)+1,"")</f>
        <v>45</v>
      </c>
      <c r="D49" s="80" t="s">
        <v>10</v>
      </c>
      <c r="E49" s="89" t="s">
        <v>477</v>
      </c>
      <c r="F49" s="223" t="s">
        <v>43</v>
      </c>
      <c r="G49" s="224"/>
      <c r="H49" s="231"/>
      <c r="I49" s="235">
        <f t="shared" si="13"/>
        <v>2</v>
      </c>
      <c r="J49" s="236">
        <f t="shared" si="14"/>
        <v>0</v>
      </c>
      <c r="K49" s="250">
        <f t="shared" ref="K49:K55" si="16">I49*J49</f>
        <v>0</v>
      </c>
      <c r="L49" s="20"/>
    </row>
    <row r="50" spans="2:12" ht="30" customHeight="1" x14ac:dyDescent="0.25">
      <c r="B50" s="78" t="str">
        <f t="shared" si="0"/>
        <v>INCIC</v>
      </c>
      <c r="C50" s="79">
        <f>IF(ISTEXT(D50),MAX($C$6:$C49)+1,"")</f>
        <v>46</v>
      </c>
      <c r="D50" s="80" t="s">
        <v>10</v>
      </c>
      <c r="E50" s="89" t="s">
        <v>478</v>
      </c>
      <c r="F50" s="223" t="s">
        <v>43</v>
      </c>
      <c r="G50" s="224"/>
      <c r="H50" s="231"/>
      <c r="I50" s="235">
        <f t="shared" si="13"/>
        <v>2</v>
      </c>
      <c r="J50" s="236">
        <f t="shared" si="14"/>
        <v>0</v>
      </c>
      <c r="K50" s="250">
        <f t="shared" si="16"/>
        <v>0</v>
      </c>
      <c r="L50" s="20"/>
    </row>
    <row r="51" spans="2:12" ht="30" customHeight="1" x14ac:dyDescent="0.25">
      <c r="B51" s="78" t="str">
        <f t="shared" si="0"/>
        <v>INCIC</v>
      </c>
      <c r="C51" s="79">
        <f>IF(ISTEXT(D51),MAX($C$6:$C50)+1,"")</f>
        <v>47</v>
      </c>
      <c r="D51" s="80" t="s">
        <v>10</v>
      </c>
      <c r="E51" s="89" t="s">
        <v>479</v>
      </c>
      <c r="F51" s="223" t="s">
        <v>43</v>
      </c>
      <c r="G51" s="224"/>
      <c r="H51" s="231"/>
      <c r="I51" s="235">
        <f t="shared" si="13"/>
        <v>2</v>
      </c>
      <c r="J51" s="236">
        <f t="shared" si="14"/>
        <v>0</v>
      </c>
      <c r="K51" s="250">
        <f t="shared" si="16"/>
        <v>0</v>
      </c>
      <c r="L51" s="20"/>
    </row>
    <row r="52" spans="2:12" ht="30" customHeight="1" x14ac:dyDescent="0.25">
      <c r="B52" s="78" t="str">
        <f t="shared" si="0"/>
        <v>INCIC</v>
      </c>
      <c r="C52" s="79">
        <f>IF(ISTEXT(D52),MAX($C$6:$C51)+1,"")</f>
        <v>48</v>
      </c>
      <c r="D52" s="80" t="s">
        <v>10</v>
      </c>
      <c r="E52" s="89" t="s">
        <v>480</v>
      </c>
      <c r="F52" s="223" t="s">
        <v>43</v>
      </c>
      <c r="G52" s="224"/>
      <c r="H52" s="231"/>
      <c r="I52" s="235">
        <f t="shared" si="13"/>
        <v>2</v>
      </c>
      <c r="J52" s="236">
        <f t="shared" si="14"/>
        <v>0</v>
      </c>
      <c r="K52" s="250">
        <f t="shared" si="16"/>
        <v>0</v>
      </c>
      <c r="L52" s="20"/>
    </row>
    <row r="53" spans="2:12" ht="30" customHeight="1" x14ac:dyDescent="0.25">
      <c r="B53" s="78" t="str">
        <f t="shared" si="0"/>
        <v>INCIC</v>
      </c>
      <c r="C53" s="79">
        <f>IF(ISTEXT(D53),MAX($C$6:$C52)+1,"")</f>
        <v>49</v>
      </c>
      <c r="D53" s="80" t="s">
        <v>10</v>
      </c>
      <c r="E53" s="89" t="s">
        <v>481</v>
      </c>
      <c r="F53" s="223" t="s">
        <v>43</v>
      </c>
      <c r="G53" s="224"/>
      <c r="H53" s="231"/>
      <c r="I53" s="235">
        <f t="shared" si="13"/>
        <v>2</v>
      </c>
      <c r="J53" s="236">
        <f t="shared" si="14"/>
        <v>0</v>
      </c>
      <c r="K53" s="250">
        <f t="shared" si="16"/>
        <v>0</v>
      </c>
      <c r="L53" s="20"/>
    </row>
    <row r="54" spans="2:12" ht="30" customHeight="1" x14ac:dyDescent="0.25">
      <c r="B54" s="78" t="str">
        <f t="shared" si="0"/>
        <v>INCIC</v>
      </c>
      <c r="C54" s="79">
        <f>IF(ISTEXT(D54),MAX($C$6:$C53)+1,"")</f>
        <v>50</v>
      </c>
      <c r="D54" s="80" t="s">
        <v>11</v>
      </c>
      <c r="E54" s="89" t="s">
        <v>482</v>
      </c>
      <c r="F54" s="223" t="s">
        <v>43</v>
      </c>
      <c r="G54" s="224"/>
      <c r="H54" s="231"/>
      <c r="I54" s="235">
        <f t="shared" si="13"/>
        <v>1</v>
      </c>
      <c r="J54" s="236">
        <f t="shared" si="14"/>
        <v>0</v>
      </c>
      <c r="K54" s="250">
        <f t="shared" si="16"/>
        <v>0</v>
      </c>
      <c r="L54" s="20"/>
    </row>
    <row r="55" spans="2:12" ht="30" customHeight="1" x14ac:dyDescent="0.25">
      <c r="B55" s="152" t="str">
        <f t="shared" si="0"/>
        <v>INCIC</v>
      </c>
      <c r="C55" s="153">
        <f>IF(ISTEXT(D55),MAX($C$6:$C54)+1,"")</f>
        <v>51</v>
      </c>
      <c r="D55" s="208" t="s">
        <v>11</v>
      </c>
      <c r="E55" s="154" t="s">
        <v>483</v>
      </c>
      <c r="F55" s="223" t="s">
        <v>43</v>
      </c>
      <c r="G55" s="241"/>
      <c r="H55" s="242"/>
      <c r="I55" s="238">
        <f t="shared" si="13"/>
        <v>1</v>
      </c>
      <c r="J55" s="239">
        <f t="shared" si="14"/>
        <v>0</v>
      </c>
      <c r="K55" s="254">
        <f t="shared" si="16"/>
        <v>0</v>
      </c>
      <c r="L55" s="21"/>
    </row>
    <row r="56" spans="2:12" ht="8.25" customHeight="1" x14ac:dyDescent="0.25"/>
  </sheetData>
  <sheetProtection algorithmName="SHA-512" hashValue="iaC7KeFojj5jh4QLPQRBSieQU8Qln5VKlmI82taNgsExyj2pUFECknDYnqHYOZ4ntlj/6KnjrqoD711a1HZ1ig==" saltValue="EYmixlsT9aMLnmWPJGxQ0g==" spinCount="100000" sheet="1" selectLockedCells="1"/>
  <conditionalFormatting sqref="D4:D12">
    <cfRule type="cellIs" dxfId="26" priority="16" operator="equal">
      <formula>"Important"</formula>
    </cfRule>
    <cfRule type="cellIs" dxfId="25" priority="17" operator="equal">
      <formula>"Crucial"</formula>
    </cfRule>
    <cfRule type="cellIs" dxfId="24" priority="18" operator="equal">
      <formula>"N/A"</formula>
    </cfRule>
  </conditionalFormatting>
  <conditionalFormatting sqref="D14:D55">
    <cfRule type="cellIs" dxfId="23" priority="1" operator="equal">
      <formula>"Important"</formula>
    </cfRule>
    <cfRule type="cellIs" dxfId="22" priority="2" operator="equal">
      <formula>"Crucial"</formula>
    </cfRule>
    <cfRule type="cellIs" dxfId="21" priority="3" operator="equal">
      <formula>"N/A"</formula>
    </cfRule>
  </conditionalFormatting>
  <conditionalFormatting sqref="F4:F55">
    <cfRule type="cellIs" dxfId="20" priority="22" operator="equal">
      <formula>"Function Not Available"</formula>
    </cfRule>
    <cfRule type="cellIs" dxfId="19" priority="23" operator="equal">
      <formula>"Function Available"</formula>
    </cfRule>
    <cfRule type="cellIs" dxfId="18" priority="24" operator="equal">
      <formula>"Exception"</formula>
    </cfRule>
  </conditionalFormatting>
  <dataValidations count="3">
    <dataValidation type="list" allowBlank="1" showInputMessage="1" showErrorMessage="1" sqref="F4:F5" xr:uid="{00000000-0002-0000-2000-000000000000}">
      <formula1>AvailabilityType</formula1>
    </dataValidation>
    <dataValidation type="list" allowBlank="1" showInputMessage="1" showErrorMessage="1" errorTitle="Invalid specification type" error="Please enter a Specification type from the drop-down list." sqref="D4:D12 D14:D55" xr:uid="{2DF7B8FF-B20C-430B-9558-F288541547BA}">
      <formula1>SpecType</formula1>
    </dataValidation>
    <dataValidation type="list" allowBlank="1" showInputMessage="1" showErrorMessage="1" errorTitle="Invalid specification type" error="Please enter a Specification type from the drop-down list." sqref="F6:F12 F17:F55" xr:uid="{00000000-0002-0000-2000-000002000000}">
      <formula1>AvailabilityType</formula1>
    </dataValidation>
  </dataValidations>
  <pageMargins left="0.7" right="0.7" top="0.75" bottom="0.75" header="0.3" footer="0.3"/>
  <pageSetup scale="46" fitToHeight="0" orientation="portrait" r:id="rId1"/>
  <headerFooter>
    <oddHeader>&amp;CGCCDA
&amp;F&amp;R&amp;A</oddHeader>
    <oddFooter>&amp;LTSSI Consulting LLC, March 2026&amp;CPage &amp;P of &amp;N</oddFooter>
  </headerFooter>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FFCC00"/>
    <pageSetUpPr fitToPage="1"/>
  </sheetPr>
  <dimension ref="A1:M21"/>
  <sheetViews>
    <sheetView showGridLines="0" zoomScale="90" zoomScaleNormal="90" workbookViewId="0">
      <selection activeCell="F4" sqref="F4"/>
    </sheetView>
  </sheetViews>
  <sheetFormatPr defaultColWidth="0" defaultRowHeight="15" zeroHeight="1" x14ac:dyDescent="0.25"/>
  <cols>
    <col min="1" max="1" width="1.28515625" customWidth="1"/>
    <col min="2" max="2" width="11.7109375" customWidth="1"/>
    <col min="3" max="3" width="11.42578125" customWidth="1"/>
    <col min="4" max="4" width="23.28515625" customWidth="1"/>
    <col min="5" max="5" width="65.7109375" style="63" customWidth="1"/>
    <col min="6" max="6" width="28.7109375" customWidth="1"/>
    <col min="7" max="7" width="15.42578125" style="64" hidden="1" customWidth="1"/>
    <col min="8" max="11" width="12.7109375" hidden="1" customWidth="1"/>
    <col min="12" max="12" width="49.42578125" customWidth="1"/>
    <col min="13" max="13" width="8.7109375" customWidth="1"/>
    <col min="14" max="16384" width="8.7109375" hidden="1"/>
  </cols>
  <sheetData>
    <row r="1" spans="2:12" ht="4.9000000000000004" customHeight="1" thickBot="1" x14ac:dyDescent="0.3"/>
    <row r="2" spans="2:12" ht="129" customHeight="1" thickBot="1" x14ac:dyDescent="0.3">
      <c r="B2" s="95" t="s">
        <v>44</v>
      </c>
      <c r="C2" s="95" t="s">
        <v>45</v>
      </c>
      <c r="D2" s="95" t="s">
        <v>46</v>
      </c>
      <c r="E2" s="95" t="s">
        <v>484</v>
      </c>
      <c r="F2" s="95" t="s">
        <v>42</v>
      </c>
      <c r="G2" s="96" t="s">
        <v>48</v>
      </c>
      <c r="H2" s="96" t="s">
        <v>49</v>
      </c>
      <c r="I2" s="97" t="s">
        <v>50</v>
      </c>
      <c r="J2" s="97" t="s">
        <v>51</v>
      </c>
      <c r="K2" s="98" t="s">
        <v>14</v>
      </c>
      <c r="L2" s="99" t="s">
        <v>52</v>
      </c>
    </row>
    <row r="3" spans="2:12" ht="16.5" thickBot="1" x14ac:dyDescent="0.3">
      <c r="B3" s="100" t="s">
        <v>485</v>
      </c>
      <c r="C3" s="72"/>
      <c r="D3" s="72"/>
      <c r="E3" s="72"/>
      <c r="F3" s="72"/>
      <c r="G3" s="73" t="s">
        <v>54</v>
      </c>
      <c r="H3" s="74">
        <f>COUNTA(D4:D479)</f>
        <v>9</v>
      </c>
      <c r="I3" s="75"/>
      <c r="J3" s="76" t="s">
        <v>55</v>
      </c>
      <c r="K3" s="77">
        <f t="shared" ref="K3" si="0">SUM(K4:K479)</f>
        <v>0</v>
      </c>
      <c r="L3" s="101"/>
    </row>
    <row r="4" spans="2:12" ht="30" customHeight="1" x14ac:dyDescent="0.25">
      <c r="B4" s="102" t="s">
        <v>486</v>
      </c>
      <c r="C4" s="79">
        <v>1</v>
      </c>
      <c r="D4" s="80" t="s">
        <v>9</v>
      </c>
      <c r="E4" s="104" t="s">
        <v>487</v>
      </c>
      <c r="F4" s="223" t="s">
        <v>43</v>
      </c>
      <c r="G4" s="224" t="s">
        <v>57</v>
      </c>
      <c r="H4" s="225">
        <f>COUNTIF(F4:F479,"Select from Drop Down")</f>
        <v>9</v>
      </c>
      <c r="I4" s="226">
        <f>VLOOKUP($D4,SpecData,2,FALSE)</f>
        <v>3</v>
      </c>
      <c r="J4" s="227">
        <f>VLOOKUP($F4,AvailabilityData,2,FALSE)</f>
        <v>0</v>
      </c>
      <c r="K4" s="228">
        <f>I4*J4</f>
        <v>0</v>
      </c>
      <c r="L4" s="26"/>
    </row>
    <row r="5" spans="2:12" ht="30" customHeight="1" x14ac:dyDescent="0.25">
      <c r="B5" s="102" t="str">
        <f>IF(C5="","",$B$4)</f>
        <v>ITDD</v>
      </c>
      <c r="C5" s="79">
        <f>IF(ISTEXT(D5),MAX($C$4:$C4)+1,"")</f>
        <v>2</v>
      </c>
      <c r="D5" s="80" t="s">
        <v>9</v>
      </c>
      <c r="E5" s="104" t="s">
        <v>488</v>
      </c>
      <c r="F5" s="223" t="s">
        <v>43</v>
      </c>
      <c r="G5" s="224" t="s">
        <v>59</v>
      </c>
      <c r="H5" s="225">
        <f>COUNTIF(F4:F479,"Function Available")</f>
        <v>0</v>
      </c>
      <c r="I5" s="226">
        <f>VLOOKUP($D5,SpecData,2,FALSE)</f>
        <v>3</v>
      </c>
      <c r="J5" s="227">
        <f>VLOOKUP($F5,AvailabilityData,2,FALSE)</f>
        <v>0</v>
      </c>
      <c r="K5" s="228">
        <f t="shared" ref="K5:K13" si="1">I5*J5</f>
        <v>0</v>
      </c>
      <c r="L5" s="26"/>
    </row>
    <row r="6" spans="2:12" ht="30" customHeight="1" x14ac:dyDescent="0.25">
      <c r="B6" s="102" t="str">
        <f>IF(C6="","",$B$4)</f>
        <v>ITDD</v>
      </c>
      <c r="C6" s="79">
        <f>IF(ISTEXT(D6),MAX($C$4:$C5)+1,"")</f>
        <v>3</v>
      </c>
      <c r="D6" s="80" t="s">
        <v>10</v>
      </c>
      <c r="E6" s="104" t="s">
        <v>489</v>
      </c>
      <c r="F6" s="223" t="s">
        <v>43</v>
      </c>
      <c r="G6" s="224" t="s">
        <v>61</v>
      </c>
      <c r="H6" s="231">
        <f>COUNTIF(F4:F479,"Function Not Available")</f>
        <v>0</v>
      </c>
      <c r="I6" s="226">
        <f t="shared" ref="I6:I13" si="2">VLOOKUP($D6,SpecData,2,FALSE)</f>
        <v>2</v>
      </c>
      <c r="J6" s="227">
        <f t="shared" ref="J6:J13" si="3">VLOOKUP($F6,AvailabilityData,2,FALSE)</f>
        <v>0</v>
      </c>
      <c r="K6" s="228">
        <f t="shared" si="1"/>
        <v>0</v>
      </c>
      <c r="L6" s="26"/>
    </row>
    <row r="7" spans="2:12" ht="30" customHeight="1" x14ac:dyDescent="0.25">
      <c r="B7" s="102" t="str">
        <f t="shared" ref="B7:B13" si="4">IF(C7="","",$B$4)</f>
        <v>ITDD</v>
      </c>
      <c r="C7" s="79">
        <f>IF(ISTEXT(D7),MAX($C$4:$C6)+1,"")</f>
        <v>4</v>
      </c>
      <c r="D7" s="80" t="s">
        <v>10</v>
      </c>
      <c r="E7" s="138" t="s">
        <v>490</v>
      </c>
      <c r="F7" s="223" t="s">
        <v>43</v>
      </c>
      <c r="G7" s="224" t="s">
        <v>63</v>
      </c>
      <c r="H7" s="231">
        <f>COUNTIF(F4:F479,"Exception")</f>
        <v>0</v>
      </c>
      <c r="I7" s="226">
        <f t="shared" si="2"/>
        <v>2</v>
      </c>
      <c r="J7" s="227">
        <f t="shared" si="3"/>
        <v>0</v>
      </c>
      <c r="K7" s="228">
        <f t="shared" si="1"/>
        <v>0</v>
      </c>
      <c r="L7" s="26"/>
    </row>
    <row r="8" spans="2:12" ht="30" customHeight="1" x14ac:dyDescent="0.25">
      <c r="B8" s="102" t="str">
        <f t="shared" si="4"/>
        <v>ITDD</v>
      </c>
      <c r="C8" s="79">
        <f>IF(ISTEXT(D8),MAX($C$4:$C7)+1,"")</f>
        <v>5</v>
      </c>
      <c r="D8" s="80" t="s">
        <v>10</v>
      </c>
      <c r="E8" s="138" t="s">
        <v>491</v>
      </c>
      <c r="F8" s="223" t="s">
        <v>43</v>
      </c>
      <c r="G8" s="224" t="s">
        <v>65</v>
      </c>
      <c r="H8" s="232">
        <f>COUNTIFS(D:D,"=Crucial",F:F,"=Select From Drop Down")</f>
        <v>2</v>
      </c>
      <c r="I8" s="226">
        <f t="shared" si="2"/>
        <v>2</v>
      </c>
      <c r="J8" s="227">
        <f t="shared" si="3"/>
        <v>0</v>
      </c>
      <c r="K8" s="228">
        <f t="shared" si="1"/>
        <v>0</v>
      </c>
      <c r="L8" s="26"/>
    </row>
    <row r="9" spans="2:12" ht="30" customHeight="1" x14ac:dyDescent="0.25">
      <c r="B9" s="102" t="str">
        <f t="shared" si="4"/>
        <v>ITDD</v>
      </c>
      <c r="C9" s="79">
        <f>IF(ISTEXT(D9),MAX($C$4:$C8)+1,"")</f>
        <v>6</v>
      </c>
      <c r="D9" s="80" t="s">
        <v>10</v>
      </c>
      <c r="E9" s="138" t="s">
        <v>492</v>
      </c>
      <c r="F9" s="223" t="s">
        <v>43</v>
      </c>
      <c r="G9" s="224" t="s">
        <v>67</v>
      </c>
      <c r="H9" s="232">
        <f>COUNTIFS(D:D,"=Crucial",F:F,"=Function Available")</f>
        <v>0</v>
      </c>
      <c r="I9" s="226">
        <f t="shared" si="2"/>
        <v>2</v>
      </c>
      <c r="J9" s="227">
        <f t="shared" si="3"/>
        <v>0</v>
      </c>
      <c r="K9" s="228">
        <f t="shared" si="1"/>
        <v>0</v>
      </c>
      <c r="L9" s="26"/>
    </row>
    <row r="10" spans="2:12" ht="30" customHeight="1" x14ac:dyDescent="0.25">
      <c r="B10" s="102" t="str">
        <f t="shared" si="4"/>
        <v>ITDD</v>
      </c>
      <c r="C10" s="79">
        <f>IF(ISTEXT(D10),MAX($C$4:$C9)+1,"")</f>
        <v>7</v>
      </c>
      <c r="D10" s="80" t="s">
        <v>11</v>
      </c>
      <c r="E10" s="199" t="s">
        <v>493</v>
      </c>
      <c r="F10" s="223" t="s">
        <v>43</v>
      </c>
      <c r="G10" s="224" t="s">
        <v>69</v>
      </c>
      <c r="H10" s="232">
        <f>COUNTIFS(D:D,"=Crucial",F:F,"=Function Not Available")</f>
        <v>0</v>
      </c>
      <c r="I10" s="226">
        <f t="shared" si="2"/>
        <v>1</v>
      </c>
      <c r="J10" s="227">
        <f t="shared" si="3"/>
        <v>0</v>
      </c>
      <c r="K10" s="228">
        <f t="shared" si="1"/>
        <v>0</v>
      </c>
      <c r="L10" s="26"/>
    </row>
    <row r="11" spans="2:12" ht="30" customHeight="1" x14ac:dyDescent="0.25">
      <c r="B11" s="186" t="str">
        <f t="shared" si="4"/>
        <v/>
      </c>
      <c r="C11" s="125" t="str">
        <f>IF(ISTEXT(D11),MAX($C$6:$C10)+1,"")</f>
        <v/>
      </c>
      <c r="D11" s="126"/>
      <c r="E11" s="196" t="s">
        <v>494</v>
      </c>
      <c r="F11" s="128"/>
      <c r="G11" s="129"/>
      <c r="H11" s="129"/>
      <c r="I11" s="129"/>
      <c r="J11" s="129"/>
      <c r="K11" s="129"/>
      <c r="L11" s="188"/>
    </row>
    <row r="12" spans="2:12" ht="30" customHeight="1" x14ac:dyDescent="0.25">
      <c r="B12" s="102" t="str">
        <f t="shared" si="4"/>
        <v>ITDD</v>
      </c>
      <c r="C12" s="79">
        <f>IF(ISTEXT(D12),MAX($C$4:$C10)+1,"")</f>
        <v>8</v>
      </c>
      <c r="D12" s="80" t="s">
        <v>11</v>
      </c>
      <c r="E12" s="136" t="s">
        <v>495</v>
      </c>
      <c r="F12" s="223" t="s">
        <v>43</v>
      </c>
      <c r="G12" s="224" t="s">
        <v>70</v>
      </c>
      <c r="H12" s="232">
        <f>COUNTIFS(D:D,"=Crucial",F:F,"=Exception")</f>
        <v>0</v>
      </c>
      <c r="I12" s="226">
        <f t="shared" si="2"/>
        <v>1</v>
      </c>
      <c r="J12" s="227">
        <f t="shared" si="3"/>
        <v>0</v>
      </c>
      <c r="K12" s="228">
        <f t="shared" si="1"/>
        <v>0</v>
      </c>
      <c r="L12" s="26"/>
    </row>
    <row r="13" spans="2:12" ht="30" customHeight="1" thickBot="1" x14ac:dyDescent="0.3">
      <c r="B13" s="105" t="str">
        <f t="shared" si="4"/>
        <v>ITDD</v>
      </c>
      <c r="C13" s="106">
        <f>IF(ISTEXT(D13),MAX($C$4:$C12)+1,"")</f>
        <v>9</v>
      </c>
      <c r="D13" s="80" t="s">
        <v>11</v>
      </c>
      <c r="E13" s="211" t="s">
        <v>496</v>
      </c>
      <c r="F13" s="284" t="s">
        <v>43</v>
      </c>
      <c r="G13" s="245" t="s">
        <v>72</v>
      </c>
      <c r="H13" s="246">
        <f>COUNTIFS(D:D,"=Important",F:F,"=Select From Drop Down")</f>
        <v>4</v>
      </c>
      <c r="I13" s="247">
        <f t="shared" si="2"/>
        <v>1</v>
      </c>
      <c r="J13" s="248">
        <f t="shared" si="3"/>
        <v>0</v>
      </c>
      <c r="K13" s="249">
        <f t="shared" si="1"/>
        <v>0</v>
      </c>
      <c r="L13" s="27"/>
    </row>
    <row r="14" spans="2:12" ht="30" hidden="1" customHeight="1" x14ac:dyDescent="0.25">
      <c r="B14" s="109"/>
      <c r="C14" s="109"/>
      <c r="D14" s="110"/>
      <c r="E14" s="191"/>
      <c r="F14" s="112"/>
      <c r="G14" s="73" t="s">
        <v>74</v>
      </c>
      <c r="H14" s="113">
        <f>COUNTIFS(D:D,"=Important",F:F,"=Function Available")</f>
        <v>0</v>
      </c>
      <c r="I14" s="114"/>
      <c r="J14" s="115"/>
      <c r="K14" s="114"/>
      <c r="L14" s="116"/>
    </row>
    <row r="15" spans="2:12" ht="30" hidden="1" customHeight="1" x14ac:dyDescent="0.25">
      <c r="B15" s="192"/>
      <c r="C15" s="192"/>
      <c r="D15" s="193"/>
      <c r="E15" s="122"/>
      <c r="F15" s="118"/>
      <c r="G15" s="62" t="s">
        <v>76</v>
      </c>
      <c r="H15" s="119">
        <f>COUNTIFS(D:D,"=Important",F:F,"=Function Not Available")</f>
        <v>0</v>
      </c>
      <c r="I15" s="120"/>
      <c r="J15" s="121"/>
      <c r="K15" s="120"/>
      <c r="L15" s="85"/>
    </row>
    <row r="16" spans="2:12" ht="30" hidden="1" customHeight="1" x14ac:dyDescent="0.25">
      <c r="B16" s="192"/>
      <c r="C16" s="192"/>
      <c r="D16" s="193"/>
      <c r="E16" s="122"/>
      <c r="F16" s="118"/>
      <c r="G16" s="62" t="s">
        <v>77</v>
      </c>
      <c r="H16" s="119">
        <f>COUNTIFS(D:D,"=Important",F:F,"=Exception")</f>
        <v>0</v>
      </c>
      <c r="I16" s="120"/>
      <c r="J16" s="121"/>
      <c r="K16" s="120"/>
      <c r="L16" s="85"/>
    </row>
    <row r="17" spans="2:12" ht="30" hidden="1" customHeight="1" x14ac:dyDescent="0.25">
      <c r="B17" s="192"/>
      <c r="C17" s="192"/>
      <c r="D17" s="193"/>
      <c r="E17" s="122"/>
      <c r="F17" s="118"/>
      <c r="G17" s="62" t="s">
        <v>78</v>
      </c>
      <c r="H17" s="119">
        <f>COUNTIFS(D:D,"=Minimal",F:F,"=Select From Drop Down")</f>
        <v>3</v>
      </c>
      <c r="I17" s="120"/>
      <c r="J17" s="121"/>
      <c r="K17" s="120"/>
      <c r="L17" s="85"/>
    </row>
    <row r="18" spans="2:12" ht="30" hidden="1" customHeight="1" x14ac:dyDescent="0.25">
      <c r="B18" s="192"/>
      <c r="C18" s="192"/>
      <c r="D18" s="193"/>
      <c r="E18" s="122"/>
      <c r="F18" s="118"/>
      <c r="G18" s="62" t="s">
        <v>80</v>
      </c>
      <c r="H18" s="119">
        <f>COUNTIFS(D:D,"=Minimal",F:F,"=Function Available")</f>
        <v>0</v>
      </c>
      <c r="I18" s="120"/>
      <c r="J18" s="121"/>
      <c r="K18" s="120"/>
      <c r="L18" s="85"/>
    </row>
    <row r="19" spans="2:12" ht="30" hidden="1" customHeight="1" x14ac:dyDescent="0.25">
      <c r="B19" s="192"/>
      <c r="C19" s="192"/>
      <c r="D19" s="193"/>
      <c r="E19" s="122"/>
      <c r="F19" s="118"/>
      <c r="G19" s="62" t="s">
        <v>82</v>
      </c>
      <c r="H19" s="119">
        <f>COUNTIFS(D:D,"=Minimal",F:F,"=Function Not Available")</f>
        <v>0</v>
      </c>
      <c r="I19" s="120"/>
      <c r="J19" s="121"/>
      <c r="K19" s="120"/>
      <c r="L19" s="85"/>
    </row>
    <row r="20" spans="2:12" ht="30" hidden="1" customHeight="1" x14ac:dyDescent="0.25">
      <c r="B20" s="192"/>
      <c r="C20" s="192"/>
      <c r="D20" s="193"/>
      <c r="E20" s="122"/>
      <c r="F20" s="118"/>
      <c r="G20" s="62" t="s">
        <v>83</v>
      </c>
      <c r="H20" s="119">
        <f>COUNTIFS(D:D,"=Minimal",F:F,"=Exception")</f>
        <v>0</v>
      </c>
      <c r="I20" s="120"/>
      <c r="J20" s="121"/>
      <c r="K20" s="120"/>
      <c r="L20" s="85"/>
    </row>
    <row r="21" spans="2:12" ht="9" customHeight="1" x14ac:dyDescent="0.25"/>
  </sheetData>
  <sheetProtection algorithmName="SHA-512" hashValue="DNkUdvjf5UJi6oDtdU1q5/8SpNcLWVUVHAQtTiOe948frbTITh5kMuD4Z24jpe7WSjWyAmy/m8QNfmNPNDoqLQ==" saltValue="fXpkaFjO9V312wYS6yEgKw==" spinCount="100000" sheet="1" selectLockedCells="1"/>
  <conditionalFormatting sqref="D4:D10 D12:D20">
    <cfRule type="cellIs" dxfId="17" priority="1" operator="equal">
      <formula>"Important"</formula>
    </cfRule>
    <cfRule type="cellIs" dxfId="16" priority="2" operator="equal">
      <formula>"Crucial"</formula>
    </cfRule>
    <cfRule type="cellIs" dxfId="15" priority="3" operator="equal">
      <formula>"N/A"</formula>
    </cfRule>
  </conditionalFormatting>
  <conditionalFormatting sqref="F4:F20">
    <cfRule type="cellIs" dxfId="14" priority="7" operator="equal">
      <formula>"Function Not Available"</formula>
    </cfRule>
    <cfRule type="cellIs" dxfId="13" priority="8" operator="equal">
      <formula>"Function Available"</formula>
    </cfRule>
    <cfRule type="cellIs" dxfId="12" priority="9" operator="equal">
      <formula>"Exception"</formula>
    </cfRule>
  </conditionalFormatting>
  <dataValidations count="3">
    <dataValidation type="list" allowBlank="1" showInputMessage="1" showErrorMessage="1" errorTitle="Invalid specification type" error="Please enter a Specification type from the drop-down list." sqref="F6:F10 F12:F13" xr:uid="{00000000-0002-0000-2100-000000000000}">
      <formula1>AvailabilityType</formula1>
    </dataValidation>
    <dataValidation type="list" allowBlank="1" showInputMessage="1" showErrorMessage="1" sqref="D4:D10 D12:D13" xr:uid="{DB33EA3E-3446-47DC-B05A-AB4484EF1BDA}">
      <formula1>SpecType</formula1>
    </dataValidation>
    <dataValidation type="list" allowBlank="1" showInputMessage="1" showErrorMessage="1" sqref="F4:F5" xr:uid="{00000000-0002-0000-2100-000002000000}">
      <formula1>AvailabilityType</formula1>
    </dataValidation>
  </dataValidations>
  <pageMargins left="0.7" right="0.7" top="0.75" bottom="0.75" header="0.3" footer="0.3"/>
  <pageSetup scale="47" fitToHeight="0" orientation="portrait" r:id="rId1"/>
  <headerFooter>
    <oddHeader>&amp;CGCCDA
&amp;F&amp;R&amp;A</oddHeader>
    <oddFooter>&amp;LTSSI Consulting LLC, March 2026&amp;CPage &amp;P of &amp;N</oddFooter>
  </headerFooter>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15">
    <tabColor rgb="FFFFCC00"/>
    <pageSetUpPr fitToPage="1"/>
  </sheetPr>
  <dimension ref="A1:M46"/>
  <sheetViews>
    <sheetView showGridLines="0" zoomScale="90" zoomScaleNormal="90" zoomScalePageLayoutView="40" workbookViewId="0">
      <selection activeCell="F4" sqref="F4"/>
    </sheetView>
  </sheetViews>
  <sheetFormatPr defaultColWidth="0" defaultRowHeight="15" zeroHeight="1" x14ac:dyDescent="0.25"/>
  <cols>
    <col min="1" max="1" width="1.28515625" style="221" customWidth="1"/>
    <col min="2" max="2" width="11.7109375" style="221" customWidth="1"/>
    <col min="3" max="3" width="11.42578125" style="221" customWidth="1"/>
    <col min="4" max="4" width="23.28515625" style="221" customWidth="1"/>
    <col min="5" max="5" width="65.7109375" style="222" customWidth="1"/>
    <col min="6" max="6" width="28.7109375" style="221" customWidth="1"/>
    <col min="7" max="7" width="15.42578125" style="217" hidden="1" customWidth="1"/>
    <col min="8" max="11" width="12.7109375" style="221" hidden="1" customWidth="1"/>
    <col min="12" max="12" width="49.42578125" style="221" customWidth="1"/>
    <col min="13" max="13" width="2" style="221" customWidth="1"/>
    <col min="14" max="16384" width="9.28515625" style="221" hidden="1"/>
  </cols>
  <sheetData>
    <row r="1" spans="2:12" customFormat="1" ht="3.6" customHeight="1" x14ac:dyDescent="0.25">
      <c r="E1" s="63"/>
      <c r="G1" s="64"/>
    </row>
    <row r="2" spans="2:12" s="71" customFormat="1" ht="129" customHeight="1" thickBot="1" x14ac:dyDescent="0.25">
      <c r="B2" s="65" t="s">
        <v>44</v>
      </c>
      <c r="C2" s="66" t="s">
        <v>45</v>
      </c>
      <c r="D2" s="66" t="s">
        <v>46</v>
      </c>
      <c r="E2" s="66" t="s">
        <v>497</v>
      </c>
      <c r="F2" s="66" t="s">
        <v>42</v>
      </c>
      <c r="G2" s="67" t="s">
        <v>48</v>
      </c>
      <c r="H2" s="67" t="s">
        <v>49</v>
      </c>
      <c r="I2" s="68" t="s">
        <v>50</v>
      </c>
      <c r="J2" s="68" t="s">
        <v>51</v>
      </c>
      <c r="K2" s="69" t="s">
        <v>14</v>
      </c>
      <c r="L2" s="70" t="s">
        <v>52</v>
      </c>
    </row>
    <row r="3" spans="2:12" customFormat="1" ht="16.5" thickBot="1" x14ac:dyDescent="0.3">
      <c r="B3" s="72" t="s">
        <v>498</v>
      </c>
      <c r="C3" s="72"/>
      <c r="D3" s="72"/>
      <c r="E3" s="72"/>
      <c r="F3" s="72"/>
      <c r="G3" s="73" t="s">
        <v>54</v>
      </c>
      <c r="H3" s="74">
        <f>COUNTA(D4:D505)</f>
        <v>39</v>
      </c>
      <c r="I3" s="75"/>
      <c r="J3" s="76" t="s">
        <v>55</v>
      </c>
      <c r="K3" s="77">
        <f>SUM(K4:K505)</f>
        <v>0</v>
      </c>
      <c r="L3" s="72"/>
    </row>
    <row r="4" spans="2:12" customFormat="1" ht="30" customHeight="1" x14ac:dyDescent="0.25">
      <c r="B4" s="78" t="s">
        <v>499</v>
      </c>
      <c r="C4" s="79">
        <v>1</v>
      </c>
      <c r="D4" s="80" t="s">
        <v>10</v>
      </c>
      <c r="E4" s="204" t="s">
        <v>500</v>
      </c>
      <c r="F4" s="223" t="s">
        <v>43</v>
      </c>
      <c r="G4" s="224" t="s">
        <v>57</v>
      </c>
      <c r="H4" s="225">
        <f>COUNTIF(F4:F505,"Select from Drop Down")</f>
        <v>39</v>
      </c>
      <c r="I4" s="226">
        <f>VLOOKUP($D4,SpecData,2,FALSE)</f>
        <v>2</v>
      </c>
      <c r="J4" s="227">
        <f>VLOOKUP($F4,AvailabilityData,2,FALSE)</f>
        <v>0</v>
      </c>
      <c r="K4" s="228">
        <f>I4*J4</f>
        <v>0</v>
      </c>
      <c r="L4" s="20"/>
    </row>
    <row r="5" spans="2:12" customFormat="1" ht="30" customHeight="1" x14ac:dyDescent="0.25">
      <c r="B5" s="78" t="str">
        <f>IF(C5="","",$B$4)</f>
        <v>IWeb</v>
      </c>
      <c r="C5" s="79">
        <f>IF(ISTEXT(D5),MAX($C$4:$C4)+1,"")</f>
        <v>2</v>
      </c>
      <c r="D5" s="80" t="s">
        <v>10</v>
      </c>
      <c r="E5" s="204" t="s">
        <v>501</v>
      </c>
      <c r="F5" s="223" t="s">
        <v>43</v>
      </c>
      <c r="G5" s="224" t="s">
        <v>59</v>
      </c>
      <c r="H5" s="225">
        <f>COUNTIF(F4:F505,"Function Available")</f>
        <v>0</v>
      </c>
      <c r="I5" s="226">
        <f>VLOOKUP($D5,SpecData,2,FALSE)</f>
        <v>2</v>
      </c>
      <c r="J5" s="227">
        <f>VLOOKUP($F5,AvailabilityData,2,FALSE)</f>
        <v>0</v>
      </c>
      <c r="K5" s="228">
        <f>I5*J5</f>
        <v>0</v>
      </c>
      <c r="L5" s="20"/>
    </row>
    <row r="6" spans="2:12" customFormat="1" ht="41.25" customHeight="1" x14ac:dyDescent="0.25">
      <c r="B6" s="78" t="str">
        <f t="shared" ref="B6:B43" si="0">IF(C6="","",$B$4)</f>
        <v>IWeb</v>
      </c>
      <c r="C6" s="79">
        <f>IF(ISTEXT(D6),MAX($C$4:$C5)+1,"")</f>
        <v>3</v>
      </c>
      <c r="D6" s="80" t="s">
        <v>9</v>
      </c>
      <c r="E6" s="204" t="s">
        <v>502</v>
      </c>
      <c r="F6" s="223" t="s">
        <v>43</v>
      </c>
      <c r="G6" s="224" t="s">
        <v>61</v>
      </c>
      <c r="H6" s="231">
        <f>COUNTIF(F4:F505,"Function Not Available")</f>
        <v>0</v>
      </c>
      <c r="I6" s="226">
        <f t="shared" ref="I6:I12" si="1">VLOOKUP($D6,SpecData,2,FALSE)</f>
        <v>3</v>
      </c>
      <c r="J6" s="227">
        <f t="shared" ref="J6:J12" si="2">VLOOKUP($F6,AvailabilityData,2,FALSE)</f>
        <v>0</v>
      </c>
      <c r="K6" s="250">
        <f t="shared" ref="K6:K12" si="3">I6*J6</f>
        <v>0</v>
      </c>
      <c r="L6" s="20"/>
    </row>
    <row r="7" spans="2:12" customFormat="1" ht="30" customHeight="1" x14ac:dyDescent="0.25">
      <c r="B7" s="78" t="str">
        <f t="shared" si="0"/>
        <v>IWeb</v>
      </c>
      <c r="C7" s="79">
        <f>IF(ISTEXT(D7),MAX($C$4:$C6)+1,"")</f>
        <v>4</v>
      </c>
      <c r="D7" s="80" t="s">
        <v>10</v>
      </c>
      <c r="E7" s="204" t="s">
        <v>503</v>
      </c>
      <c r="F7" s="223" t="s">
        <v>43</v>
      </c>
      <c r="G7" s="224" t="s">
        <v>63</v>
      </c>
      <c r="H7" s="231">
        <f>COUNTIF(F4:F505,"Exception")</f>
        <v>0</v>
      </c>
      <c r="I7" s="226">
        <f t="shared" si="1"/>
        <v>2</v>
      </c>
      <c r="J7" s="227">
        <f t="shared" si="2"/>
        <v>0</v>
      </c>
      <c r="K7" s="228">
        <f t="shared" si="3"/>
        <v>0</v>
      </c>
      <c r="L7" s="20"/>
    </row>
    <row r="8" spans="2:12" customFormat="1" ht="30" customHeight="1" x14ac:dyDescent="0.25">
      <c r="B8" s="78" t="str">
        <f t="shared" si="0"/>
        <v>IWeb</v>
      </c>
      <c r="C8" s="79">
        <f>IF(ISTEXT(D8),MAX($C$4:$C7)+1,"")</f>
        <v>5</v>
      </c>
      <c r="D8" s="80" t="s">
        <v>10</v>
      </c>
      <c r="E8" s="204" t="s">
        <v>504</v>
      </c>
      <c r="F8" s="223" t="s">
        <v>43</v>
      </c>
      <c r="G8" s="224" t="s">
        <v>65</v>
      </c>
      <c r="H8" s="232">
        <f>COUNTIFS(D:D,"=Crucial",F:F,"=Select From Drop Down")</f>
        <v>2</v>
      </c>
      <c r="I8" s="226">
        <f t="shared" si="1"/>
        <v>2</v>
      </c>
      <c r="J8" s="227">
        <f t="shared" si="2"/>
        <v>0</v>
      </c>
      <c r="K8" s="250">
        <f t="shared" si="3"/>
        <v>0</v>
      </c>
      <c r="L8" s="20"/>
    </row>
    <row r="9" spans="2:12" customFormat="1" ht="30" customHeight="1" x14ac:dyDescent="0.25">
      <c r="B9" s="78" t="str">
        <f t="shared" si="0"/>
        <v>IWeb</v>
      </c>
      <c r="C9" s="79">
        <f>IF(ISTEXT(D9),MAX($C$4:$C8)+1,"")</f>
        <v>6</v>
      </c>
      <c r="D9" s="80" t="s">
        <v>10</v>
      </c>
      <c r="E9" s="204" t="s">
        <v>505</v>
      </c>
      <c r="F9" s="223" t="s">
        <v>43</v>
      </c>
      <c r="G9" s="224" t="s">
        <v>67</v>
      </c>
      <c r="H9" s="232">
        <f>COUNTIFS(D:D,"=Crucial",F:F,"=Function Available")</f>
        <v>0</v>
      </c>
      <c r="I9" s="226">
        <f t="shared" si="1"/>
        <v>2</v>
      </c>
      <c r="J9" s="227">
        <f t="shared" si="2"/>
        <v>0</v>
      </c>
      <c r="K9" s="250">
        <f t="shared" si="3"/>
        <v>0</v>
      </c>
      <c r="L9" s="20"/>
    </row>
    <row r="10" spans="2:12" customFormat="1" ht="41.25" customHeight="1" x14ac:dyDescent="0.25">
      <c r="B10" s="78" t="str">
        <f t="shared" si="0"/>
        <v>IWeb</v>
      </c>
      <c r="C10" s="79">
        <f>IF(ISTEXT(D10),MAX($C$4:$C9)+1,"")</f>
        <v>7</v>
      </c>
      <c r="D10" s="80" t="s">
        <v>11</v>
      </c>
      <c r="E10" s="204" t="s">
        <v>506</v>
      </c>
      <c r="F10" s="223" t="s">
        <v>43</v>
      </c>
      <c r="G10" s="224" t="s">
        <v>69</v>
      </c>
      <c r="H10" s="232">
        <f>COUNTIFS(D:D,"=Crucial",F:F,"=Function Not Available")</f>
        <v>0</v>
      </c>
      <c r="I10" s="226">
        <f t="shared" si="1"/>
        <v>1</v>
      </c>
      <c r="J10" s="227">
        <f t="shared" si="2"/>
        <v>0</v>
      </c>
      <c r="K10" s="250">
        <f t="shared" si="3"/>
        <v>0</v>
      </c>
      <c r="L10" s="20"/>
    </row>
    <row r="11" spans="2:12" customFormat="1" ht="30" customHeight="1" x14ac:dyDescent="0.25">
      <c r="B11" s="78" t="str">
        <f t="shared" si="0"/>
        <v>IWeb</v>
      </c>
      <c r="C11" s="79">
        <f>IF(ISTEXT(D11),MAX($C$4:$C10)+1,"")</f>
        <v>8</v>
      </c>
      <c r="D11" s="80" t="s">
        <v>11</v>
      </c>
      <c r="E11" s="204" t="s">
        <v>520</v>
      </c>
      <c r="F11" s="223" t="s">
        <v>43</v>
      </c>
      <c r="G11" s="224" t="s">
        <v>70</v>
      </c>
      <c r="H11" s="232">
        <f>COUNTIFS(D:D,"=Crucial",F:F,"=Exception")</f>
        <v>0</v>
      </c>
      <c r="I11" s="226">
        <f t="shared" si="1"/>
        <v>1</v>
      </c>
      <c r="J11" s="227">
        <f t="shared" si="2"/>
        <v>0</v>
      </c>
      <c r="K11" s="250">
        <f t="shared" si="3"/>
        <v>0</v>
      </c>
      <c r="L11" s="20"/>
    </row>
    <row r="12" spans="2:12" customFormat="1" ht="30" customHeight="1" x14ac:dyDescent="0.25">
      <c r="B12" s="78" t="str">
        <f t="shared" si="0"/>
        <v>IWeb</v>
      </c>
      <c r="C12" s="79">
        <f>IF(ISTEXT(D12),MAX($C$4:$C11)+1,"")</f>
        <v>9</v>
      </c>
      <c r="D12" s="80" t="s">
        <v>10</v>
      </c>
      <c r="E12" s="207" t="s">
        <v>507</v>
      </c>
      <c r="F12" s="223" t="s">
        <v>43</v>
      </c>
      <c r="G12" s="224" t="s">
        <v>72</v>
      </c>
      <c r="H12" s="232">
        <f>COUNTIFS(D:D,"=Important",F:F,"=Select From Drop Down")</f>
        <v>31</v>
      </c>
      <c r="I12" s="226">
        <f t="shared" si="1"/>
        <v>2</v>
      </c>
      <c r="J12" s="227">
        <f t="shared" si="2"/>
        <v>0</v>
      </c>
      <c r="K12" s="250">
        <f t="shared" si="3"/>
        <v>0</v>
      </c>
      <c r="L12" s="20"/>
    </row>
    <row r="13" spans="2:12" customFormat="1" ht="30" customHeight="1" x14ac:dyDescent="0.25">
      <c r="B13" s="78" t="str">
        <f t="shared" si="0"/>
        <v>IWeb</v>
      </c>
      <c r="C13" s="79">
        <f>IF(ISTEXT(D13),MAX($C$4:$C12)+1,"")</f>
        <v>10</v>
      </c>
      <c r="D13" s="80" t="s">
        <v>9</v>
      </c>
      <c r="E13" s="207" t="s">
        <v>508</v>
      </c>
      <c r="F13" s="223" t="s">
        <v>43</v>
      </c>
      <c r="G13" s="224" t="s">
        <v>74</v>
      </c>
      <c r="H13" s="232">
        <f>COUNTIFS(D:D,"=Important",F:F,"=Function Available")</f>
        <v>0</v>
      </c>
      <c r="I13" s="226">
        <f t="shared" ref="I13:I26" si="4">VLOOKUP($D13,SpecData,2,FALSE)</f>
        <v>3</v>
      </c>
      <c r="J13" s="227">
        <f t="shared" ref="J13:J26" si="5">VLOOKUP($F13,AvailabilityData,2,FALSE)</f>
        <v>0</v>
      </c>
      <c r="K13" s="250">
        <f t="shared" ref="K13:K34" si="6">I13*J13</f>
        <v>0</v>
      </c>
      <c r="L13" s="20"/>
    </row>
    <row r="14" spans="2:12" customFormat="1" ht="45" customHeight="1" x14ac:dyDescent="0.25">
      <c r="B14" s="78" t="str">
        <f t="shared" si="0"/>
        <v>IWeb</v>
      </c>
      <c r="C14" s="79">
        <f>IF(ISTEXT(D14),MAX($C$4:$C13)+1,"")</f>
        <v>11</v>
      </c>
      <c r="D14" s="80" t="s">
        <v>10</v>
      </c>
      <c r="E14" s="207" t="s">
        <v>509</v>
      </c>
      <c r="F14" s="223" t="s">
        <v>43</v>
      </c>
      <c r="G14" s="224" t="s">
        <v>76</v>
      </c>
      <c r="H14" s="232">
        <f>COUNTIFS(D:D,"=Important",F:F,"=Function Not Available")</f>
        <v>0</v>
      </c>
      <c r="I14" s="226">
        <f t="shared" si="4"/>
        <v>2</v>
      </c>
      <c r="J14" s="227">
        <f t="shared" si="5"/>
        <v>0</v>
      </c>
      <c r="K14" s="250">
        <f t="shared" si="6"/>
        <v>0</v>
      </c>
      <c r="L14" s="20"/>
    </row>
    <row r="15" spans="2:12" customFormat="1" ht="30" customHeight="1" x14ac:dyDescent="0.25">
      <c r="B15" s="78" t="str">
        <f t="shared" si="0"/>
        <v>IWeb</v>
      </c>
      <c r="C15" s="79">
        <f>IF(ISTEXT(D15),MAX($C$4:$C14)+1,"")</f>
        <v>12</v>
      </c>
      <c r="D15" s="80" t="s">
        <v>11</v>
      </c>
      <c r="E15" s="207" t="s">
        <v>510</v>
      </c>
      <c r="F15" s="223" t="s">
        <v>43</v>
      </c>
      <c r="G15" s="224" t="s">
        <v>77</v>
      </c>
      <c r="H15" s="232">
        <f>COUNTIFS(D:D,"=Important",F:F,"=Exception")</f>
        <v>0</v>
      </c>
      <c r="I15" s="235">
        <f t="shared" si="4"/>
        <v>1</v>
      </c>
      <c r="J15" s="236">
        <f t="shared" si="5"/>
        <v>0</v>
      </c>
      <c r="K15" s="250">
        <f t="shared" si="6"/>
        <v>0</v>
      </c>
      <c r="L15" s="20"/>
    </row>
    <row r="16" spans="2:12" customFormat="1" ht="30" customHeight="1" x14ac:dyDescent="0.25">
      <c r="B16" s="78" t="str">
        <f t="shared" si="0"/>
        <v>IWeb</v>
      </c>
      <c r="C16" s="79">
        <f>IF(ISTEXT(D16),MAX($C$4:$C15)+1,"")</f>
        <v>13</v>
      </c>
      <c r="D16" s="80" t="s">
        <v>10</v>
      </c>
      <c r="E16" s="212" t="s">
        <v>538</v>
      </c>
      <c r="F16" s="223" t="s">
        <v>43</v>
      </c>
      <c r="G16" s="224" t="s">
        <v>78</v>
      </c>
      <c r="H16" s="232">
        <f>COUNTIFS(D:D,"=Minimal",F:F,"=Select From Drop Down")</f>
        <v>6</v>
      </c>
      <c r="I16" s="235">
        <f t="shared" si="4"/>
        <v>2</v>
      </c>
      <c r="J16" s="236">
        <f t="shared" si="5"/>
        <v>0</v>
      </c>
      <c r="K16" s="250">
        <f t="shared" si="6"/>
        <v>0</v>
      </c>
      <c r="L16" s="20"/>
    </row>
    <row r="17" spans="2:12" customFormat="1" ht="30" customHeight="1" x14ac:dyDescent="0.25">
      <c r="B17" s="78" t="str">
        <f t="shared" si="0"/>
        <v>IWeb</v>
      </c>
      <c r="C17" s="79">
        <f>IF(ISTEXT(D17),MAX($C$4:$C16)+1,"")</f>
        <v>14</v>
      </c>
      <c r="D17" s="80" t="s">
        <v>10</v>
      </c>
      <c r="E17" s="212" t="s">
        <v>537</v>
      </c>
      <c r="F17" s="223" t="s">
        <v>43</v>
      </c>
      <c r="G17" s="224" t="s">
        <v>80</v>
      </c>
      <c r="H17" s="232">
        <f>COUNTIFS(D:D,"=Minimal",F:F,"=Function Available")</f>
        <v>0</v>
      </c>
      <c r="I17" s="235">
        <f>VLOOKUP($D17,SpecData,2,FALSE)</f>
        <v>2</v>
      </c>
      <c r="J17" s="236">
        <f>VLOOKUP($F17,AvailabilityData,2,FALSE)</f>
        <v>0</v>
      </c>
      <c r="K17" s="250">
        <f>I17*J17</f>
        <v>0</v>
      </c>
      <c r="L17" s="54"/>
    </row>
    <row r="18" spans="2:12" customFormat="1" ht="30" customHeight="1" x14ac:dyDescent="0.25">
      <c r="B18" s="78" t="str">
        <f t="shared" si="0"/>
        <v>IWeb</v>
      </c>
      <c r="C18" s="79">
        <f>IF(ISTEXT(D18),MAX($C$4:$C17)+1,"")</f>
        <v>15</v>
      </c>
      <c r="D18" s="80" t="s">
        <v>10</v>
      </c>
      <c r="E18" s="89" t="s">
        <v>511</v>
      </c>
      <c r="F18" s="223" t="s">
        <v>43</v>
      </c>
      <c r="G18" s="224" t="s">
        <v>82</v>
      </c>
      <c r="H18" s="232">
        <f>COUNTIFS(D:D,"=Minimal",F:F,"=Function Not Available")</f>
        <v>0</v>
      </c>
      <c r="I18" s="235">
        <f t="shared" si="4"/>
        <v>2</v>
      </c>
      <c r="J18" s="236">
        <f t="shared" si="5"/>
        <v>0</v>
      </c>
      <c r="K18" s="250">
        <f t="shared" si="6"/>
        <v>0</v>
      </c>
      <c r="L18" s="20"/>
    </row>
    <row r="19" spans="2:12" customFormat="1" ht="30" customHeight="1" x14ac:dyDescent="0.25">
      <c r="B19" s="78" t="str">
        <f t="shared" si="0"/>
        <v>IWeb</v>
      </c>
      <c r="C19" s="79">
        <f>IF(ISTEXT(D19),MAX($C$4:$C18)+1,"")</f>
        <v>16</v>
      </c>
      <c r="D19" s="80" t="s">
        <v>10</v>
      </c>
      <c r="E19" s="88" t="s">
        <v>512</v>
      </c>
      <c r="F19" s="223" t="s">
        <v>43</v>
      </c>
      <c r="G19" s="224" t="s">
        <v>83</v>
      </c>
      <c r="H19" s="232">
        <f>COUNTIFS(D:D,"=Minimal",F:F,"=Exception")</f>
        <v>0</v>
      </c>
      <c r="I19" s="235">
        <f t="shared" si="4"/>
        <v>2</v>
      </c>
      <c r="J19" s="236">
        <f t="shared" si="5"/>
        <v>0</v>
      </c>
      <c r="K19" s="250">
        <f t="shared" si="6"/>
        <v>0</v>
      </c>
      <c r="L19" s="20"/>
    </row>
    <row r="20" spans="2:12" customFormat="1" ht="30" customHeight="1" x14ac:dyDescent="0.25">
      <c r="B20" s="124" t="str">
        <f t="shared" si="0"/>
        <v/>
      </c>
      <c r="C20" s="125" t="str">
        <f>IF(ISTEXT(D20),MAX($C$4:$C19)+1,"")</f>
        <v/>
      </c>
      <c r="D20" s="126"/>
      <c r="E20" s="205" t="s">
        <v>513</v>
      </c>
      <c r="F20" s="128"/>
      <c r="G20" s="129"/>
      <c r="H20" s="129"/>
      <c r="I20" s="129"/>
      <c r="J20" s="129"/>
      <c r="K20" s="129"/>
      <c r="L20" s="129"/>
    </row>
    <row r="21" spans="2:12" customFormat="1" ht="30" customHeight="1" x14ac:dyDescent="0.25">
      <c r="B21" s="78" t="str">
        <f t="shared" si="0"/>
        <v>IWeb</v>
      </c>
      <c r="C21" s="79">
        <f>IF(ISTEXT(D21),MAX($C$4:$C20)+1,"")</f>
        <v>17</v>
      </c>
      <c r="D21" s="80" t="s">
        <v>10</v>
      </c>
      <c r="E21" s="130" t="s">
        <v>514</v>
      </c>
      <c r="F21" s="223" t="s">
        <v>43</v>
      </c>
      <c r="G21" s="224"/>
      <c r="H21" s="231"/>
      <c r="I21" s="235">
        <f t="shared" si="4"/>
        <v>2</v>
      </c>
      <c r="J21" s="236">
        <f t="shared" si="5"/>
        <v>0</v>
      </c>
      <c r="K21" s="250">
        <f t="shared" si="6"/>
        <v>0</v>
      </c>
      <c r="L21" s="20"/>
    </row>
    <row r="22" spans="2:12" customFormat="1" ht="30" customHeight="1" x14ac:dyDescent="0.25">
      <c r="B22" s="78" t="str">
        <f t="shared" si="0"/>
        <v>IWeb</v>
      </c>
      <c r="C22" s="79">
        <f>IF(ISTEXT(D22),MAX($C$4:$C21)+1,"")</f>
        <v>18</v>
      </c>
      <c r="D22" s="80" t="s">
        <v>10</v>
      </c>
      <c r="E22" s="150" t="s">
        <v>515</v>
      </c>
      <c r="F22" s="223" t="s">
        <v>43</v>
      </c>
      <c r="G22" s="224"/>
      <c r="H22" s="231"/>
      <c r="I22" s="235">
        <f t="shared" si="4"/>
        <v>2</v>
      </c>
      <c r="J22" s="236">
        <f t="shared" si="5"/>
        <v>0</v>
      </c>
      <c r="K22" s="250">
        <f t="shared" si="6"/>
        <v>0</v>
      </c>
      <c r="L22" s="20"/>
    </row>
    <row r="23" spans="2:12" customFormat="1" ht="30" customHeight="1" x14ac:dyDescent="0.25">
      <c r="B23" s="78" t="str">
        <f t="shared" si="0"/>
        <v>IWeb</v>
      </c>
      <c r="C23" s="79">
        <f>IF(ISTEXT(D23),MAX($C$4:$C22)+1,"")</f>
        <v>19</v>
      </c>
      <c r="D23" s="80" t="s">
        <v>10</v>
      </c>
      <c r="E23" s="150" t="s">
        <v>167</v>
      </c>
      <c r="F23" s="223" t="s">
        <v>43</v>
      </c>
      <c r="G23" s="224"/>
      <c r="H23" s="231"/>
      <c r="I23" s="235">
        <f t="shared" si="4"/>
        <v>2</v>
      </c>
      <c r="J23" s="236">
        <f t="shared" si="5"/>
        <v>0</v>
      </c>
      <c r="K23" s="250">
        <f t="shared" si="6"/>
        <v>0</v>
      </c>
      <c r="L23" s="20"/>
    </row>
    <row r="24" spans="2:12" customFormat="1" ht="30" customHeight="1" x14ac:dyDescent="0.25">
      <c r="B24" s="78" t="str">
        <f t="shared" si="0"/>
        <v>IWeb</v>
      </c>
      <c r="C24" s="79">
        <f>IF(ISTEXT(D24),MAX($C$4:$C23)+1,"")</f>
        <v>20</v>
      </c>
      <c r="D24" s="80" t="s">
        <v>10</v>
      </c>
      <c r="E24" s="150" t="s">
        <v>516</v>
      </c>
      <c r="F24" s="223" t="s">
        <v>43</v>
      </c>
      <c r="G24" s="224"/>
      <c r="H24" s="231"/>
      <c r="I24" s="235">
        <f t="shared" si="4"/>
        <v>2</v>
      </c>
      <c r="J24" s="236">
        <f t="shared" si="5"/>
        <v>0</v>
      </c>
      <c r="K24" s="250">
        <f t="shared" si="6"/>
        <v>0</v>
      </c>
      <c r="L24" s="20"/>
    </row>
    <row r="25" spans="2:12" customFormat="1" ht="30" customHeight="1" x14ac:dyDescent="0.25">
      <c r="B25" s="78" t="str">
        <f t="shared" si="0"/>
        <v>IWeb</v>
      </c>
      <c r="C25" s="79">
        <f>IF(ISTEXT(D25),MAX($C$4:$C24)+1,"")</f>
        <v>21</v>
      </c>
      <c r="D25" s="80" t="s">
        <v>10</v>
      </c>
      <c r="E25" s="150" t="s">
        <v>517</v>
      </c>
      <c r="F25" s="223" t="s">
        <v>43</v>
      </c>
      <c r="G25" s="224"/>
      <c r="H25" s="231"/>
      <c r="I25" s="235">
        <f t="shared" si="4"/>
        <v>2</v>
      </c>
      <c r="J25" s="236">
        <f t="shared" si="5"/>
        <v>0</v>
      </c>
      <c r="K25" s="250">
        <f t="shared" si="6"/>
        <v>0</v>
      </c>
      <c r="L25" s="20"/>
    </row>
    <row r="26" spans="2:12" customFormat="1" ht="30" customHeight="1" x14ac:dyDescent="0.25">
      <c r="B26" s="78" t="str">
        <f t="shared" si="0"/>
        <v>IWeb</v>
      </c>
      <c r="C26" s="79">
        <f>IF(ISTEXT(D26),MAX($C$4:$C25)+1,"")</f>
        <v>22</v>
      </c>
      <c r="D26" s="80" t="s">
        <v>10</v>
      </c>
      <c r="E26" s="150" t="s">
        <v>518</v>
      </c>
      <c r="F26" s="223" t="s">
        <v>43</v>
      </c>
      <c r="G26" s="241"/>
      <c r="H26" s="242"/>
      <c r="I26" s="238">
        <f t="shared" si="4"/>
        <v>2</v>
      </c>
      <c r="J26" s="239">
        <f t="shared" si="5"/>
        <v>0</v>
      </c>
      <c r="K26" s="254">
        <f t="shared" si="6"/>
        <v>0</v>
      </c>
      <c r="L26" s="20"/>
    </row>
    <row r="27" spans="2:12" customFormat="1" ht="30" customHeight="1" x14ac:dyDescent="0.25">
      <c r="B27" s="78" t="str">
        <f t="shared" si="0"/>
        <v>IWeb</v>
      </c>
      <c r="C27" s="79">
        <f>IF(ISTEXT(D27),MAX($C$4:$C26)+1,"")</f>
        <v>23</v>
      </c>
      <c r="D27" s="80" t="s">
        <v>10</v>
      </c>
      <c r="E27" s="150" t="s">
        <v>171</v>
      </c>
      <c r="F27" s="223" t="s">
        <v>43</v>
      </c>
      <c r="G27" s="233"/>
      <c r="H27" s="255"/>
      <c r="I27" s="226">
        <f t="shared" ref="I27:I34" si="7">VLOOKUP($D27,SpecData,2,FALSE)</f>
        <v>2</v>
      </c>
      <c r="J27" s="227">
        <f t="shared" ref="J27:J34" si="8">VLOOKUP($F27,AvailabilityData,2,FALSE)</f>
        <v>0</v>
      </c>
      <c r="K27" s="228">
        <f t="shared" si="6"/>
        <v>0</v>
      </c>
      <c r="L27" s="20"/>
    </row>
    <row r="28" spans="2:12" customFormat="1" ht="30" customHeight="1" x14ac:dyDescent="0.25">
      <c r="B28" s="78" t="str">
        <f t="shared" si="0"/>
        <v>IWeb</v>
      </c>
      <c r="C28" s="79">
        <f>IF(ISTEXT(D28),MAX($C$4:$C27)+1,"")</f>
        <v>24</v>
      </c>
      <c r="D28" s="80" t="s">
        <v>10</v>
      </c>
      <c r="E28" s="150" t="s">
        <v>539</v>
      </c>
      <c r="F28" s="223" t="s">
        <v>43</v>
      </c>
      <c r="G28" s="224"/>
      <c r="H28" s="231"/>
      <c r="I28" s="235">
        <f t="shared" si="7"/>
        <v>2</v>
      </c>
      <c r="J28" s="236">
        <f t="shared" si="8"/>
        <v>0</v>
      </c>
      <c r="K28" s="250">
        <f t="shared" si="6"/>
        <v>0</v>
      </c>
      <c r="L28" s="20"/>
    </row>
    <row r="29" spans="2:12" customFormat="1" ht="30" customHeight="1" x14ac:dyDescent="0.25">
      <c r="B29" s="78" t="str">
        <f t="shared" si="0"/>
        <v>IWeb</v>
      </c>
      <c r="C29" s="79">
        <f>IF(ISTEXT(D29),MAX($C$4:$C28)+1,"")</f>
        <v>25</v>
      </c>
      <c r="D29" s="80" t="s">
        <v>10</v>
      </c>
      <c r="E29" s="131" t="s">
        <v>628</v>
      </c>
      <c r="F29" s="223" t="s">
        <v>43</v>
      </c>
      <c r="G29" s="233"/>
      <c r="H29" s="255"/>
      <c r="I29" s="226">
        <f t="shared" si="7"/>
        <v>2</v>
      </c>
      <c r="J29" s="227">
        <f t="shared" si="8"/>
        <v>0</v>
      </c>
      <c r="K29" s="228">
        <f t="shared" si="6"/>
        <v>0</v>
      </c>
      <c r="L29" s="25"/>
    </row>
    <row r="30" spans="2:12" customFormat="1" ht="30" customHeight="1" x14ac:dyDescent="0.25">
      <c r="B30" s="78" t="str">
        <f t="shared" si="0"/>
        <v>IWeb</v>
      </c>
      <c r="C30" s="79">
        <f>IF(ISTEXT(D30),MAX($C$4:$C29)+1,"")</f>
        <v>26</v>
      </c>
      <c r="D30" s="80" t="s">
        <v>10</v>
      </c>
      <c r="E30" s="131" t="s">
        <v>629</v>
      </c>
      <c r="F30" s="223" t="s">
        <v>43</v>
      </c>
      <c r="G30" s="224"/>
      <c r="H30" s="231"/>
      <c r="I30" s="235">
        <f t="shared" si="7"/>
        <v>2</v>
      </c>
      <c r="J30" s="236">
        <f t="shared" si="8"/>
        <v>0</v>
      </c>
      <c r="K30" s="250">
        <f t="shared" si="6"/>
        <v>0</v>
      </c>
      <c r="L30" s="20"/>
    </row>
    <row r="31" spans="2:12" customFormat="1" ht="30" customHeight="1" x14ac:dyDescent="0.25">
      <c r="B31" s="78" t="str">
        <f t="shared" si="0"/>
        <v>IWeb</v>
      </c>
      <c r="C31" s="79">
        <f>IF(ISTEXT(D31),MAX($C$4:$C30)+1,"")</f>
        <v>27</v>
      </c>
      <c r="D31" s="80" t="s">
        <v>10</v>
      </c>
      <c r="E31" s="131" t="s">
        <v>560</v>
      </c>
      <c r="F31" s="223" t="s">
        <v>43</v>
      </c>
      <c r="G31" s="224"/>
      <c r="H31" s="231"/>
      <c r="I31" s="235">
        <f t="shared" si="7"/>
        <v>2</v>
      </c>
      <c r="J31" s="236">
        <f t="shared" si="8"/>
        <v>0</v>
      </c>
      <c r="K31" s="250">
        <f t="shared" si="6"/>
        <v>0</v>
      </c>
      <c r="L31" s="20"/>
    </row>
    <row r="32" spans="2:12" customFormat="1" ht="30" customHeight="1" x14ac:dyDescent="0.25">
      <c r="B32" s="78" t="str">
        <f t="shared" si="0"/>
        <v>IWeb</v>
      </c>
      <c r="C32" s="79">
        <f>IF(ISTEXT(D32),MAX($C$4:$C31)+1,"")</f>
        <v>28</v>
      </c>
      <c r="D32" s="80" t="s">
        <v>10</v>
      </c>
      <c r="E32" s="131" t="s">
        <v>630</v>
      </c>
      <c r="F32" s="223" t="s">
        <v>43</v>
      </c>
      <c r="G32" s="224"/>
      <c r="H32" s="231"/>
      <c r="I32" s="235">
        <f t="shared" si="7"/>
        <v>2</v>
      </c>
      <c r="J32" s="236">
        <f t="shared" si="8"/>
        <v>0</v>
      </c>
      <c r="K32" s="250">
        <f t="shared" si="6"/>
        <v>0</v>
      </c>
      <c r="L32" s="20"/>
    </row>
    <row r="33" spans="2:12" customFormat="1" ht="30" customHeight="1" x14ac:dyDescent="0.25">
      <c r="B33" s="78" t="str">
        <f t="shared" si="0"/>
        <v>IWeb</v>
      </c>
      <c r="C33" s="79">
        <f>IF(ISTEXT(D33),MAX($C$4:$C32)+1,"")</f>
        <v>29</v>
      </c>
      <c r="D33" s="80" t="s">
        <v>10</v>
      </c>
      <c r="E33" s="131" t="s">
        <v>631</v>
      </c>
      <c r="F33" s="223" t="s">
        <v>43</v>
      </c>
      <c r="G33" s="224"/>
      <c r="H33" s="231"/>
      <c r="I33" s="235">
        <f t="shared" si="7"/>
        <v>2</v>
      </c>
      <c r="J33" s="236">
        <f t="shared" si="8"/>
        <v>0</v>
      </c>
      <c r="K33" s="250">
        <f t="shared" si="6"/>
        <v>0</v>
      </c>
      <c r="L33" s="20"/>
    </row>
    <row r="34" spans="2:12" customFormat="1" ht="30" customHeight="1" x14ac:dyDescent="0.25">
      <c r="B34" s="78" t="str">
        <f t="shared" si="0"/>
        <v>IWeb</v>
      </c>
      <c r="C34" s="79">
        <f>IF(ISTEXT(D34),MAX($C$4:$C33)+1,"")</f>
        <v>30</v>
      </c>
      <c r="D34" s="80" t="s">
        <v>10</v>
      </c>
      <c r="E34" s="131" t="s">
        <v>632</v>
      </c>
      <c r="F34" s="223" t="s">
        <v>43</v>
      </c>
      <c r="G34" s="224"/>
      <c r="H34" s="231"/>
      <c r="I34" s="235">
        <f t="shared" si="7"/>
        <v>2</v>
      </c>
      <c r="J34" s="236">
        <f t="shared" si="8"/>
        <v>0</v>
      </c>
      <c r="K34" s="250">
        <f t="shared" si="6"/>
        <v>0</v>
      </c>
      <c r="L34" s="20"/>
    </row>
    <row r="35" spans="2:12" customFormat="1" ht="30" customHeight="1" x14ac:dyDescent="0.25">
      <c r="B35" s="78" t="str">
        <f t="shared" si="0"/>
        <v>IWeb</v>
      </c>
      <c r="C35" s="79">
        <f>IF(ISTEXT(D35),MAX($C$4:$C34)+1,"")</f>
        <v>31</v>
      </c>
      <c r="D35" s="80" t="s">
        <v>10</v>
      </c>
      <c r="E35" s="131" t="s">
        <v>633</v>
      </c>
      <c r="F35" s="223" t="s">
        <v>43</v>
      </c>
      <c r="G35" s="224"/>
      <c r="H35" s="231"/>
      <c r="I35" s="235">
        <f t="shared" ref="I35:I40" si="9">VLOOKUP($D35,SpecData,2,FALSE)</f>
        <v>2</v>
      </c>
      <c r="J35" s="236">
        <f t="shared" ref="J35:J40" si="10">VLOOKUP($F35,AvailabilityData,2,FALSE)</f>
        <v>0</v>
      </c>
      <c r="K35" s="250">
        <f>I35*J35</f>
        <v>0</v>
      </c>
      <c r="L35" s="20"/>
    </row>
    <row r="36" spans="2:12" customFormat="1" ht="30" customHeight="1" x14ac:dyDescent="0.25">
      <c r="B36" s="78" t="str">
        <f t="shared" si="0"/>
        <v>IWeb</v>
      </c>
      <c r="C36" s="79">
        <f>IF(ISTEXT(D36),MAX($C$4:$C35)+1,"")</f>
        <v>32</v>
      </c>
      <c r="D36" s="80" t="s">
        <v>10</v>
      </c>
      <c r="E36" s="131" t="s">
        <v>634</v>
      </c>
      <c r="F36" s="223" t="s">
        <v>43</v>
      </c>
      <c r="G36" s="224"/>
      <c r="H36" s="231"/>
      <c r="I36" s="235">
        <f t="shared" si="9"/>
        <v>2</v>
      </c>
      <c r="J36" s="236">
        <f t="shared" si="10"/>
        <v>0</v>
      </c>
      <c r="K36" s="250">
        <f t="shared" ref="K36:K40" si="11">I36*J36</f>
        <v>0</v>
      </c>
      <c r="L36" s="20"/>
    </row>
    <row r="37" spans="2:12" customFormat="1" ht="30" customHeight="1" x14ac:dyDescent="0.25">
      <c r="B37" s="78" t="str">
        <f t="shared" si="0"/>
        <v>IWeb</v>
      </c>
      <c r="C37" s="79">
        <f>IF(ISTEXT(D37),MAX($C$4:$C36)+1,"")</f>
        <v>33</v>
      </c>
      <c r="D37" s="80" t="s">
        <v>10</v>
      </c>
      <c r="E37" s="131" t="s">
        <v>635</v>
      </c>
      <c r="F37" s="223" t="s">
        <v>43</v>
      </c>
      <c r="G37" s="224"/>
      <c r="H37" s="231"/>
      <c r="I37" s="235">
        <f t="shared" si="9"/>
        <v>2</v>
      </c>
      <c r="J37" s="236">
        <f t="shared" si="10"/>
        <v>0</v>
      </c>
      <c r="K37" s="250">
        <f t="shared" si="11"/>
        <v>0</v>
      </c>
      <c r="L37" s="20"/>
    </row>
    <row r="38" spans="2:12" customFormat="1" ht="30" customHeight="1" x14ac:dyDescent="0.25">
      <c r="B38" s="78" t="str">
        <f t="shared" si="0"/>
        <v>IWeb</v>
      </c>
      <c r="C38" s="79">
        <f>IF(ISTEXT(D38),MAX($C$4:$C37)+1,"")</f>
        <v>34</v>
      </c>
      <c r="D38" s="80" t="s">
        <v>10</v>
      </c>
      <c r="E38" s="131" t="s">
        <v>636</v>
      </c>
      <c r="F38" s="223" t="s">
        <v>43</v>
      </c>
      <c r="G38" s="224"/>
      <c r="H38" s="231"/>
      <c r="I38" s="235">
        <f t="shared" si="9"/>
        <v>2</v>
      </c>
      <c r="J38" s="236">
        <f t="shared" si="10"/>
        <v>0</v>
      </c>
      <c r="K38" s="250">
        <f t="shared" si="11"/>
        <v>0</v>
      </c>
      <c r="L38" s="20"/>
    </row>
    <row r="39" spans="2:12" customFormat="1" ht="30" customHeight="1" x14ac:dyDescent="0.25">
      <c r="B39" s="78" t="str">
        <f t="shared" si="0"/>
        <v>IWeb</v>
      </c>
      <c r="C39" s="79">
        <f>IF(ISTEXT(D39),MAX($C$4:$C38)+1,"")</f>
        <v>35</v>
      </c>
      <c r="D39" s="80" t="s">
        <v>10</v>
      </c>
      <c r="E39" s="131" t="s">
        <v>637</v>
      </c>
      <c r="F39" s="223" t="s">
        <v>43</v>
      </c>
      <c r="G39" s="224"/>
      <c r="H39" s="231"/>
      <c r="I39" s="235">
        <f t="shared" si="9"/>
        <v>2</v>
      </c>
      <c r="J39" s="236">
        <f t="shared" si="10"/>
        <v>0</v>
      </c>
      <c r="K39" s="250">
        <f t="shared" si="11"/>
        <v>0</v>
      </c>
      <c r="L39" s="20"/>
    </row>
    <row r="40" spans="2:12" customFormat="1" ht="30" customHeight="1" x14ac:dyDescent="0.25">
      <c r="B40" s="78" t="str">
        <f t="shared" si="0"/>
        <v>IWeb</v>
      </c>
      <c r="C40" s="79">
        <f>IF(ISTEXT(D40),MAX($C$4:$C39)+1,"")</f>
        <v>36</v>
      </c>
      <c r="D40" s="80" t="s">
        <v>11</v>
      </c>
      <c r="E40" s="131" t="s">
        <v>638</v>
      </c>
      <c r="F40" s="223" t="s">
        <v>43</v>
      </c>
      <c r="G40" s="224"/>
      <c r="H40" s="231"/>
      <c r="I40" s="235">
        <f t="shared" si="9"/>
        <v>1</v>
      </c>
      <c r="J40" s="236">
        <f t="shared" si="10"/>
        <v>0</v>
      </c>
      <c r="K40" s="250">
        <f t="shared" si="11"/>
        <v>0</v>
      </c>
      <c r="L40" s="20"/>
    </row>
    <row r="41" spans="2:12" customFormat="1" ht="30" customHeight="1" x14ac:dyDescent="0.25">
      <c r="B41" s="78" t="str">
        <f t="shared" si="0"/>
        <v>IWeb</v>
      </c>
      <c r="C41" s="79">
        <f>IF(ISTEXT(D41),MAX($C$4:$C40)+1,"")</f>
        <v>37</v>
      </c>
      <c r="D41" s="80" t="s">
        <v>11</v>
      </c>
      <c r="E41" s="131" t="s">
        <v>639</v>
      </c>
      <c r="F41" s="223" t="s">
        <v>43</v>
      </c>
      <c r="G41" s="224"/>
      <c r="H41" s="231"/>
      <c r="I41" s="235">
        <f t="shared" ref="I41:I43" si="12">VLOOKUP($D41,SpecData,2,FALSE)</f>
        <v>1</v>
      </c>
      <c r="J41" s="236">
        <f t="shared" ref="J41:J43" si="13">VLOOKUP($F41,AvailabilityData,2,FALSE)</f>
        <v>0</v>
      </c>
      <c r="K41" s="250">
        <f>I41*J41</f>
        <v>0</v>
      </c>
      <c r="L41" s="20"/>
    </row>
    <row r="42" spans="2:12" customFormat="1" ht="32.450000000000003" customHeight="1" x14ac:dyDescent="0.25">
      <c r="B42" s="78" t="str">
        <f t="shared" si="0"/>
        <v>IWeb</v>
      </c>
      <c r="C42" s="79">
        <f>IF(ISTEXT(D42),MAX($C$4:$C41)+1,"")</f>
        <v>38</v>
      </c>
      <c r="D42" s="80" t="s">
        <v>10</v>
      </c>
      <c r="E42" s="207" t="s">
        <v>519</v>
      </c>
      <c r="F42" s="223" t="s">
        <v>43</v>
      </c>
      <c r="G42" s="224"/>
      <c r="H42" s="231"/>
      <c r="I42" s="235">
        <f t="shared" si="12"/>
        <v>2</v>
      </c>
      <c r="J42" s="236">
        <f t="shared" si="13"/>
        <v>0</v>
      </c>
      <c r="K42" s="250">
        <f t="shared" ref="K42:K43" si="14">I42*J42</f>
        <v>0</v>
      </c>
      <c r="L42" s="20"/>
    </row>
    <row r="43" spans="2:12" customFormat="1" ht="46.9" customHeight="1" x14ac:dyDescent="0.25">
      <c r="B43" s="152" t="str">
        <f t="shared" si="0"/>
        <v>IWeb</v>
      </c>
      <c r="C43" s="153">
        <f>IF(ISTEXT(D43),MAX($C$4:$C42)+1,"")</f>
        <v>39</v>
      </c>
      <c r="D43" s="80" t="s">
        <v>11</v>
      </c>
      <c r="E43" s="209" t="s">
        <v>654</v>
      </c>
      <c r="F43" s="223" t="s">
        <v>43</v>
      </c>
      <c r="G43" s="241"/>
      <c r="H43" s="242"/>
      <c r="I43" s="238">
        <f t="shared" si="12"/>
        <v>1</v>
      </c>
      <c r="J43" s="239">
        <f t="shared" si="13"/>
        <v>0</v>
      </c>
      <c r="K43" s="254">
        <f t="shared" si="14"/>
        <v>0</v>
      </c>
      <c r="L43" s="21"/>
    </row>
    <row r="44" spans="2:12" ht="10.9" customHeight="1" x14ac:dyDescent="0.25">
      <c r="B44" s="213"/>
      <c r="C44" s="213"/>
      <c r="D44" s="214"/>
      <c r="E44" s="215"/>
      <c r="F44" s="216"/>
      <c r="H44" s="218"/>
      <c r="I44" s="219"/>
      <c r="J44" s="220"/>
      <c r="K44" s="219"/>
      <c r="L44" s="171"/>
    </row>
    <row r="45" spans="2:12" ht="62.25" hidden="1" customHeight="1" x14ac:dyDescent="0.25">
      <c r="B45" s="213"/>
      <c r="C45" s="213"/>
      <c r="D45" s="214"/>
      <c r="E45" s="215"/>
      <c r="F45" s="216"/>
      <c r="H45" s="218"/>
      <c r="I45" s="219"/>
      <c r="J45" s="220"/>
      <c r="K45" s="219"/>
      <c r="L45" s="171"/>
    </row>
    <row r="46" spans="2:12" ht="5.0999999999999996" hidden="1" customHeight="1" x14ac:dyDescent="0.25">
      <c r="B46" s="213"/>
      <c r="C46" s="213"/>
      <c r="D46" s="214"/>
      <c r="E46" s="215"/>
      <c r="F46" s="216"/>
      <c r="H46" s="218"/>
      <c r="I46" s="219"/>
      <c r="J46" s="220"/>
      <c r="K46" s="219"/>
      <c r="L46" s="171"/>
    </row>
  </sheetData>
  <sheetProtection algorithmName="SHA-512" hashValue="MfQ12r6F6zOQQpzs2XBHaPyQ2FIWCDI5sTBpiDvG23+ncxlmct3bKTFiJNA1vHKIqf7H4Z5WiKqubPcv37eWOA==" saltValue="BxS42x9zUXzoRg4cNm0epQ==" spinCount="100000" sheet="1" selectLockedCells="1"/>
  <conditionalFormatting sqref="D4:D19">
    <cfRule type="cellIs" dxfId="11" priority="10" operator="equal">
      <formula>"Important"</formula>
    </cfRule>
    <cfRule type="cellIs" dxfId="10" priority="11" operator="equal">
      <formula>"Crucial"</formula>
    </cfRule>
    <cfRule type="cellIs" dxfId="9" priority="12" operator="equal">
      <formula>"N/A"</formula>
    </cfRule>
  </conditionalFormatting>
  <conditionalFormatting sqref="D21:D42">
    <cfRule type="cellIs" dxfId="8" priority="1" operator="equal">
      <formula>"Important"</formula>
    </cfRule>
    <cfRule type="cellIs" dxfId="7" priority="2" operator="equal">
      <formula>"Crucial"</formula>
    </cfRule>
    <cfRule type="cellIs" dxfId="6" priority="3" operator="equal">
      <formula>"N/A"</formula>
    </cfRule>
  </conditionalFormatting>
  <conditionalFormatting sqref="D43:D46">
    <cfRule type="cellIs" dxfId="5" priority="25" operator="equal">
      <formula>"Important"</formula>
    </cfRule>
    <cfRule type="cellIs" dxfId="4" priority="26" operator="equal">
      <formula>"Crucial"</formula>
    </cfRule>
    <cfRule type="cellIs" dxfId="3" priority="27" operator="equal">
      <formula>"N/A"</formula>
    </cfRule>
  </conditionalFormatting>
  <conditionalFormatting sqref="F4:F46">
    <cfRule type="cellIs" dxfId="2" priority="7" operator="equal">
      <formula>"Function Not Available"</formula>
    </cfRule>
    <cfRule type="cellIs" dxfId="1" priority="8" operator="equal">
      <formula>"Function Available"</formula>
    </cfRule>
    <cfRule type="cellIs" dxfId="0" priority="9" operator="equal">
      <formula>"Exception"</formula>
    </cfRule>
  </conditionalFormatting>
  <dataValidations count="3">
    <dataValidation type="list" allowBlank="1" showInputMessage="1" showErrorMessage="1" errorTitle="Invalid specification type" error="Please enter a Specification type from the drop-down list." sqref="F21:F46 F6:F19" xr:uid="{00000000-0002-0000-2200-000000000000}">
      <formula1>AvailabilityType</formula1>
    </dataValidation>
    <dataValidation type="list" allowBlank="1" showInputMessage="1" showErrorMessage="1" errorTitle="Invalid specification type" error="Please enter a Specification type from the drop-down list." sqref="D4:D19 D21:D46" xr:uid="{00000000-0002-0000-2200-000001000000}">
      <formula1>SpecType</formula1>
    </dataValidation>
    <dataValidation type="list" allowBlank="1" showInputMessage="1" showErrorMessage="1" sqref="F4:F5" xr:uid="{00000000-0002-0000-2200-000002000000}">
      <formula1>AvailabilityType</formula1>
    </dataValidation>
  </dataValidations>
  <pageMargins left="0.7" right="0.7" top="0.75" bottom="0.75" header="0.3" footer="0.3"/>
  <pageSetup scale="47" fitToHeight="0" orientation="portrait" r:id="rId1"/>
  <headerFooter>
    <oddHeader>&amp;CGCCDA
&amp;F&amp;R&amp;A</oddHeader>
    <oddFooter>&amp;LTSSI Consulting LLC, March 2026&amp;CPage &amp;P of &amp;N</oddFooter>
  </headerFooter>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sheetPr>
  <dimension ref="A1:M43"/>
  <sheetViews>
    <sheetView showGridLines="0" zoomScaleNormal="100" zoomScalePageLayoutView="40" workbookViewId="0">
      <selection activeCell="L21" sqref="L21"/>
    </sheetView>
  </sheetViews>
  <sheetFormatPr defaultColWidth="0" defaultRowHeight="15" zeroHeight="1" x14ac:dyDescent="0.25"/>
  <cols>
    <col min="1" max="1" width="1.28515625" customWidth="1"/>
    <col min="2" max="2" width="25.42578125" customWidth="1"/>
    <col min="3" max="3" width="9.28515625" customWidth="1"/>
    <col min="4" max="4" width="3.7109375" style="46" customWidth="1"/>
    <col min="5" max="5" width="3.7109375" customWidth="1"/>
    <col min="6" max="6" width="42.7109375" customWidth="1"/>
    <col min="7" max="7" width="8.7109375" style="33" customWidth="1"/>
    <col min="8" max="11" width="11.28515625" style="33" customWidth="1"/>
    <col min="12" max="12" width="11.28515625" style="51" customWidth="1"/>
    <col min="13" max="13" width="9.28515625" customWidth="1"/>
    <col min="14" max="16384" width="9.28515625" hidden="1"/>
  </cols>
  <sheetData>
    <row r="1" spans="2:12" ht="5.65" customHeight="1" x14ac:dyDescent="0.25"/>
    <row r="2" spans="2:12" ht="44.25" customHeight="1" x14ac:dyDescent="0.25">
      <c r="B2" s="311" t="s">
        <v>34</v>
      </c>
      <c r="C2" s="311"/>
      <c r="D2" s="34"/>
      <c r="F2" s="35" t="s">
        <v>35</v>
      </c>
      <c r="G2" s="35" t="s">
        <v>36</v>
      </c>
      <c r="H2" s="35" t="s">
        <v>37</v>
      </c>
      <c r="I2" s="35" t="s">
        <v>8</v>
      </c>
      <c r="J2" s="35" t="s">
        <v>15</v>
      </c>
      <c r="K2" s="35" t="s">
        <v>16</v>
      </c>
      <c r="L2" s="35" t="s">
        <v>17</v>
      </c>
    </row>
    <row r="3" spans="2:12" x14ac:dyDescent="0.25">
      <c r="B3" s="36"/>
      <c r="C3" s="37"/>
      <c r="D3" s="38"/>
      <c r="F3" s="39" t="s">
        <v>38</v>
      </c>
      <c r="G3" s="40">
        <f>COUNTA(F5:F27)</f>
        <v>20</v>
      </c>
      <c r="H3" s="40">
        <f>SUM(H5:H24)</f>
        <v>542</v>
      </c>
      <c r="I3" s="40">
        <f>SUM(I5:I24)</f>
        <v>542</v>
      </c>
      <c r="J3" s="40">
        <f>SUM(J5:J24)</f>
        <v>0</v>
      </c>
      <c r="K3" s="40">
        <f>SUM(K5:K24)</f>
        <v>0</v>
      </c>
      <c r="L3" s="40">
        <f>SUM(L5:L24)</f>
        <v>0</v>
      </c>
    </row>
    <row r="4" spans="2:12" ht="15.75" thickBot="1" x14ac:dyDescent="0.3">
      <c r="B4" s="9" t="s">
        <v>39</v>
      </c>
      <c r="C4" s="8" t="s">
        <v>40</v>
      </c>
      <c r="D4" s="47"/>
    </row>
    <row r="5" spans="2:12" x14ac:dyDescent="0.25">
      <c r="B5" s="10" t="s">
        <v>9</v>
      </c>
      <c r="C5" s="1">
        <v>3</v>
      </c>
      <c r="D5" s="48"/>
      <c r="F5" s="39" t="str">
        <f>'General Interface'!B3</f>
        <v>CAD Interface General Requirements</v>
      </c>
      <c r="G5" s="40"/>
      <c r="H5" s="40">
        <f>'General Interface'!H3</f>
        <v>42</v>
      </c>
      <c r="I5" s="40">
        <f>'General Interface'!H4</f>
        <v>42</v>
      </c>
      <c r="J5" s="40">
        <f>'General Interface'!H5</f>
        <v>0</v>
      </c>
      <c r="K5" s="40">
        <f>'General Interface'!H6</f>
        <v>0</v>
      </c>
      <c r="L5" s="52">
        <f>'General Interface'!H7</f>
        <v>0</v>
      </c>
    </row>
    <row r="6" spans="2:12" x14ac:dyDescent="0.25">
      <c r="B6" s="11" t="s">
        <v>10</v>
      </c>
      <c r="C6" s="2">
        <v>2</v>
      </c>
      <c r="D6" s="48"/>
      <c r="F6" s="39" t="str">
        <f>'Alarm Monitoring'!B3</f>
        <v>CAD Interface Alarm Monitoring</v>
      </c>
      <c r="G6" s="40"/>
      <c r="H6" s="40">
        <f>'Alarm Monitoring'!H3</f>
        <v>9</v>
      </c>
      <c r="I6" s="40">
        <f>'Alarm Monitoring'!H4</f>
        <v>9</v>
      </c>
      <c r="J6" s="40">
        <f>'Alarm Monitoring'!H5</f>
        <v>0</v>
      </c>
      <c r="K6" s="40">
        <f>'Alarm Monitoring'!H6</f>
        <v>0</v>
      </c>
      <c r="L6" s="52">
        <f>'Alarm Monitoring'!H7</f>
        <v>0</v>
      </c>
    </row>
    <row r="7" spans="2:12" x14ac:dyDescent="0.25">
      <c r="B7" s="11" t="s">
        <v>11</v>
      </c>
      <c r="C7" s="2">
        <v>1</v>
      </c>
      <c r="D7" s="48"/>
      <c r="F7" s="39" t="str">
        <f>'Alerting Interface'!B3</f>
        <v>CAD Interface Alerting</v>
      </c>
      <c r="G7" s="40"/>
      <c r="H7" s="40">
        <f>'Alerting Interface'!H3</f>
        <v>46</v>
      </c>
      <c r="I7" s="40">
        <f>'Alerting Interface'!H4</f>
        <v>46</v>
      </c>
      <c r="J7" s="40">
        <f>'Alerting Interface'!H6</f>
        <v>0</v>
      </c>
      <c r="K7" s="40">
        <f>'Alerting Interface'!H7</f>
        <v>0</v>
      </c>
      <c r="L7" s="52">
        <f>'Alerting Interface'!H8</f>
        <v>0</v>
      </c>
    </row>
    <row r="8" spans="2:12" ht="15.75" thickBot="1" x14ac:dyDescent="0.3">
      <c r="B8" s="12" t="s">
        <v>41</v>
      </c>
      <c r="C8" s="3">
        <v>0</v>
      </c>
      <c r="D8" s="48"/>
      <c r="F8" s="39" t="str">
        <f>'Alpha-Text Paging Interface'!B3</f>
        <v>CAD Interface Alphanumeric / Text Paging</v>
      </c>
      <c r="G8" s="40"/>
      <c r="H8" s="40">
        <f>'Alpha-Text Paging Interface'!H3</f>
        <v>47</v>
      </c>
      <c r="I8" s="40">
        <f>'Alpha-Text Paging Interface'!H4</f>
        <v>47</v>
      </c>
      <c r="J8" s="40">
        <f>'Alpha-Text Paging Interface'!H5</f>
        <v>0</v>
      </c>
      <c r="K8" s="40">
        <f>'Alpha-Text Paging Interface'!H7</f>
        <v>0</v>
      </c>
      <c r="L8" s="52">
        <f>'Alpha-Text Paging Interface'!H8</f>
        <v>0</v>
      </c>
    </row>
    <row r="9" spans="2:12" x14ac:dyDescent="0.25">
      <c r="B9" s="41"/>
      <c r="D9" s="49"/>
      <c r="F9" s="39" t="str">
        <f>'AVL Interface'!B3</f>
        <v>CAD Interface AVL</v>
      </c>
      <c r="G9" s="40"/>
      <c r="H9" s="40">
        <f>'AVL Interface'!H3</f>
        <v>28</v>
      </c>
      <c r="I9" s="40">
        <f>'AVL Interface'!H4</f>
        <v>28</v>
      </c>
      <c r="J9" s="40">
        <f>'AVL Interface'!H5</f>
        <v>0</v>
      </c>
      <c r="K9" s="40">
        <f>'AVL Interface'!H6</f>
        <v>0</v>
      </c>
      <c r="L9" s="52">
        <f>'AVL Interface'!H7</f>
        <v>0</v>
      </c>
    </row>
    <row r="10" spans="2:12" x14ac:dyDescent="0.25">
      <c r="B10" s="41"/>
      <c r="D10" s="49"/>
      <c r="F10" s="39" t="str">
        <f>CAD2CAD!B3</f>
        <v>CAD Interface CAD2CAD</v>
      </c>
      <c r="G10" s="40"/>
      <c r="H10" s="40">
        <f>CAD2CAD!H3</f>
        <v>31</v>
      </c>
      <c r="I10" s="40">
        <f>CAD2CAD!H4</f>
        <v>31</v>
      </c>
      <c r="J10" s="40">
        <f>CAD2CAD!H6</f>
        <v>0</v>
      </c>
      <c r="K10" s="40">
        <f>CAD2CAD!H8</f>
        <v>0</v>
      </c>
      <c r="L10" s="52">
        <f>CAD2CAD!H9</f>
        <v>0</v>
      </c>
    </row>
    <row r="11" spans="2:12" ht="15.75" thickBot="1" x14ac:dyDescent="0.3">
      <c r="B11" s="9" t="s">
        <v>42</v>
      </c>
      <c r="C11" s="8" t="s">
        <v>40</v>
      </c>
      <c r="D11" s="47"/>
      <c r="F11" s="39" t="str">
        <f>'Dispatch Protocol Software'!B3</f>
        <v>CAD Dispatch Protocol Software</v>
      </c>
      <c r="G11" s="40"/>
      <c r="H11" s="40">
        <f>'Dispatch Protocol Software'!H3</f>
        <v>43</v>
      </c>
      <c r="I11" s="40">
        <f>'Dispatch Protocol Software'!H4</f>
        <v>43</v>
      </c>
      <c r="J11" s="40">
        <f>'Dispatch Protocol Software'!H5</f>
        <v>0</v>
      </c>
      <c r="K11" s="40">
        <f>'Dispatch Protocol Software'!H6</f>
        <v>0</v>
      </c>
      <c r="L11" s="52">
        <f>'Dispatch Protocol Software'!H8</f>
        <v>0</v>
      </c>
    </row>
    <row r="12" spans="2:12" x14ac:dyDescent="0.25">
      <c r="B12" s="10" t="s">
        <v>43</v>
      </c>
      <c r="C12" s="1">
        <v>0</v>
      </c>
      <c r="D12" s="48"/>
      <c r="F12" s="44" t="str">
        <f>'E9-1-1 Interface'!B3</f>
        <v>CAD Interface E9-1-1</v>
      </c>
      <c r="G12" s="45"/>
      <c r="H12" s="45">
        <f>'E9-1-1 Interface'!H3</f>
        <v>19</v>
      </c>
      <c r="I12" s="45">
        <f>'E9-1-1 Interface'!H4</f>
        <v>19</v>
      </c>
      <c r="J12" s="45">
        <f>'E9-1-1 Interface'!H5</f>
        <v>0</v>
      </c>
      <c r="K12" s="45">
        <f>'E9-1-1 Interface'!H6</f>
        <v>0</v>
      </c>
      <c r="L12" s="53">
        <f>'E9-1-1 Interface'!H7</f>
        <v>0</v>
      </c>
    </row>
    <row r="13" spans="2:12" x14ac:dyDescent="0.25">
      <c r="B13" s="11" t="s">
        <v>15</v>
      </c>
      <c r="C13" s="2">
        <v>1</v>
      </c>
      <c r="D13" s="48"/>
      <c r="F13" s="39" t="str">
        <f>'Emergency Notification System'!B3</f>
        <v>CAD Interface Emergency Notification System</v>
      </c>
      <c r="G13" s="40"/>
      <c r="H13" s="40">
        <f>'Emergency Notification System'!H3</f>
        <v>11</v>
      </c>
      <c r="I13" s="45">
        <f>'Emergency Notification System'!H4</f>
        <v>11</v>
      </c>
      <c r="J13" s="45">
        <f>'Emergency Notification System'!H5</f>
        <v>0</v>
      </c>
      <c r="K13" s="45">
        <f>'Emergency Notification System'!H7</f>
        <v>0</v>
      </c>
      <c r="L13" s="53">
        <f>'Emergency Notification System'!H8</f>
        <v>0</v>
      </c>
    </row>
    <row r="14" spans="2:12" x14ac:dyDescent="0.25">
      <c r="B14" s="11" t="s">
        <v>16</v>
      </c>
      <c r="C14" s="2">
        <v>0</v>
      </c>
      <c r="D14" s="48"/>
      <c r="F14" s="39" t="str">
        <f>FRMS!B3</f>
        <v>CAD Interface Fire Records Management Software</v>
      </c>
      <c r="G14" s="40"/>
      <c r="H14" s="40">
        <f>FRMS!H3</f>
        <v>23</v>
      </c>
      <c r="I14" s="40">
        <f>FRMS!H4</f>
        <v>23</v>
      </c>
      <c r="J14" s="40">
        <f>FRMS!H5</f>
        <v>0</v>
      </c>
      <c r="K14" s="40">
        <f>FRMS!H6</f>
        <v>0</v>
      </c>
      <c r="L14" s="52">
        <f>FRMS!H7</f>
        <v>0</v>
      </c>
    </row>
    <row r="15" spans="2:12" ht="15.75" thickBot="1" x14ac:dyDescent="0.3">
      <c r="B15" s="12" t="s">
        <v>17</v>
      </c>
      <c r="C15" s="3">
        <v>0</v>
      </c>
      <c r="D15" s="48"/>
      <c r="F15" s="39" t="str">
        <f>'Hazardous Materials'!B3</f>
        <v>CAD Interface Hazardous Materials</v>
      </c>
      <c r="G15" s="40"/>
      <c r="H15" s="40">
        <f>'Hazardous Materials'!H3</f>
        <v>31</v>
      </c>
      <c r="I15" s="40">
        <f>'Hazardous Materials'!H4</f>
        <v>31</v>
      </c>
      <c r="J15" s="40">
        <f>'Hazardous Materials'!H5</f>
        <v>0</v>
      </c>
      <c r="K15" s="40">
        <f>'Hazardous Materials'!H6</f>
        <v>0</v>
      </c>
      <c r="L15" s="52">
        <f>'Hazardous Materials'!H8</f>
        <v>0</v>
      </c>
    </row>
    <row r="16" spans="2:12" x14ac:dyDescent="0.25">
      <c r="B16" s="42"/>
      <c r="C16" s="43"/>
      <c r="D16" s="50"/>
      <c r="F16" s="39" t="str">
        <f>'Logging Recorder'!B3</f>
        <v>CAD Interface Logging Recorder</v>
      </c>
      <c r="G16" s="40"/>
      <c r="H16" s="40">
        <f>'Logging Recorder'!H3</f>
        <v>6</v>
      </c>
      <c r="I16" s="40">
        <f>'Logging Recorder'!H4</f>
        <v>6</v>
      </c>
      <c r="J16" s="40">
        <f>'Logging Recorder'!H5</f>
        <v>0</v>
      </c>
      <c r="K16" s="40">
        <f>'Logging Recorder'!H6</f>
        <v>0</v>
      </c>
      <c r="L16" s="52">
        <f>'Logging Recorder'!H7</f>
        <v>0</v>
      </c>
    </row>
    <row r="17" spans="6:12" x14ac:dyDescent="0.25">
      <c r="F17" s="39" t="str">
        <f>NextGen!B3</f>
        <v>CAD Interface NextGen 911</v>
      </c>
      <c r="G17" s="40"/>
      <c r="H17" s="40">
        <f>NextGen!H3</f>
        <v>18</v>
      </c>
      <c r="I17" s="40">
        <f>NextGen!H4</f>
        <v>18</v>
      </c>
      <c r="J17" s="40">
        <f>NextGen!H5</f>
        <v>0</v>
      </c>
      <c r="K17" s="40">
        <f>NextGen!H6</f>
        <v>0</v>
      </c>
      <c r="L17" s="52">
        <f>NextGen!H7</f>
        <v>0</v>
      </c>
    </row>
    <row r="18" spans="6:12" x14ac:dyDescent="0.25">
      <c r="F18" s="39" t="str">
        <f>'PSAP Master Clock'!B3</f>
        <v>CAD Interface PSAP Master Clock</v>
      </c>
      <c r="G18" s="40"/>
      <c r="H18" s="40">
        <f>'PSAP Master Clock'!H3</f>
        <v>12</v>
      </c>
      <c r="I18" s="40">
        <f>'PSAP Master Clock'!H4</f>
        <v>12</v>
      </c>
      <c r="J18" s="40">
        <f>'PSAP Master Clock'!H5</f>
        <v>0</v>
      </c>
      <c r="K18" s="40">
        <f>'PSAP Master Clock'!H6</f>
        <v>0</v>
      </c>
      <c r="L18" s="52">
        <f>'PSAP Master Clock'!H7</f>
        <v>0</v>
      </c>
    </row>
    <row r="19" spans="6:12" x14ac:dyDescent="0.25">
      <c r="F19" s="39" t="str">
        <f>Pictometry!B3</f>
        <v>CAD Interface Pictometry</v>
      </c>
      <c r="G19" s="40"/>
      <c r="H19" s="40">
        <f>Pictometry!H3</f>
        <v>9</v>
      </c>
      <c r="I19" s="40">
        <f>Pictometry!H4</f>
        <v>9</v>
      </c>
      <c r="J19" s="40">
        <f>Pictometry!H5</f>
        <v>0</v>
      </c>
      <c r="K19" s="40">
        <f>Pictometry!H6</f>
        <v>0</v>
      </c>
      <c r="L19" s="52">
        <f>Pictometry!H7</f>
        <v>0</v>
      </c>
    </row>
    <row r="20" spans="6:12" x14ac:dyDescent="0.25">
      <c r="F20" s="39" t="str">
        <f>'Radio System'!B3</f>
        <v>CAD Interface Radio System</v>
      </c>
      <c r="G20" s="40"/>
      <c r="H20" s="40">
        <f>'Radio System'!H3</f>
        <v>50</v>
      </c>
      <c r="I20" s="40">
        <f>'Radio System'!H4</f>
        <v>50</v>
      </c>
      <c r="J20" s="40">
        <f>'Radio System'!H5</f>
        <v>0</v>
      </c>
      <c r="K20" s="40">
        <f>'Radio System'!H7</f>
        <v>0</v>
      </c>
      <c r="L20" s="52">
        <f>'Radio System'!H8</f>
        <v>0</v>
      </c>
    </row>
    <row r="21" spans="6:12" x14ac:dyDescent="0.25">
      <c r="F21" s="39" t="str">
        <f>LERMS!B3</f>
        <v>CAD Interface LERMS</v>
      </c>
      <c r="G21" s="40"/>
      <c r="H21" s="40">
        <f>LERMS!H3</f>
        <v>18</v>
      </c>
      <c r="I21" s="40">
        <f>LERMS!H4</f>
        <v>18</v>
      </c>
      <c r="J21" s="40">
        <f>LERMS!H5</f>
        <v>0</v>
      </c>
      <c r="K21" s="40">
        <f>LERMS!H6</f>
        <v>0</v>
      </c>
      <c r="L21" s="52">
        <f>LERMS!H7</f>
        <v>0</v>
      </c>
    </row>
    <row r="22" spans="6:12" x14ac:dyDescent="0.25">
      <c r="F22" s="39" t="str">
        <f>'State NCIC Interface'!B3</f>
        <v>CAD Interface LE State / NCIC</v>
      </c>
      <c r="G22" s="40"/>
      <c r="H22" s="40">
        <f>'State NCIC Interface'!H3</f>
        <v>51</v>
      </c>
      <c r="I22" s="40">
        <f>'State NCIC Interface'!H4</f>
        <v>51</v>
      </c>
      <c r="J22" s="40">
        <f>'State NCIC Interface'!H5</f>
        <v>0</v>
      </c>
      <c r="K22" s="40">
        <f>'State NCIC Interface'!H6</f>
        <v>0</v>
      </c>
      <c r="L22" s="52">
        <f>'State NCIC Interface'!H7</f>
        <v>0</v>
      </c>
    </row>
    <row r="23" spans="6:12" x14ac:dyDescent="0.25">
      <c r="F23" s="39" t="str">
        <f>'TDD-TTY'!B3</f>
        <v>CAD Interface TDD / TDY</v>
      </c>
      <c r="G23" s="40"/>
      <c r="H23" s="40">
        <f>'TDD-TTY'!H3</f>
        <v>9</v>
      </c>
      <c r="I23" s="40">
        <f>'TDD-TTY'!H4</f>
        <v>9</v>
      </c>
      <c r="J23" s="40">
        <f>'TDD-TTY'!H5</f>
        <v>0</v>
      </c>
      <c r="K23" s="40">
        <f>'TDD-TTY'!H6</f>
        <v>0</v>
      </c>
      <c r="L23" s="52">
        <f>'TDD-TTY'!H7</f>
        <v>0</v>
      </c>
    </row>
    <row r="24" spans="6:12" x14ac:dyDescent="0.25">
      <c r="F24" s="39" t="str">
        <f>'Web CAD Interface'!B3</f>
        <v>CAD Interface Web CAD</v>
      </c>
      <c r="G24" s="40"/>
      <c r="H24" s="40">
        <f>'Web CAD Interface'!H3</f>
        <v>39</v>
      </c>
      <c r="I24" s="40">
        <f>'Web CAD Interface'!H4</f>
        <v>39</v>
      </c>
      <c r="J24" s="40">
        <f>'Web CAD Interface'!H5</f>
        <v>0</v>
      </c>
      <c r="K24" s="40">
        <f>'Web CAD Interface'!H6</f>
        <v>0</v>
      </c>
      <c r="L24" s="52">
        <f>'Web CAD Interface'!H7</f>
        <v>0</v>
      </c>
    </row>
    <row r="25" spans="6:12" x14ac:dyDescent="0.25"/>
    <row r="26" spans="6:12" x14ac:dyDescent="0.25"/>
    <row r="27" spans="6:12" x14ac:dyDescent="0.25"/>
    <row r="28" spans="6:12" x14ac:dyDescent="0.25"/>
    <row r="29" spans="6:12" x14ac:dyDescent="0.25"/>
    <row r="30" spans="6:12" x14ac:dyDescent="0.25"/>
    <row r="31" spans="6:12" x14ac:dyDescent="0.25"/>
    <row r="32" spans="6:12" x14ac:dyDescent="0.25"/>
    <row r="33" x14ac:dyDescent="0.25"/>
    <row r="34" x14ac:dyDescent="0.25"/>
    <row r="35" x14ac:dyDescent="0.25"/>
    <row r="36" x14ac:dyDescent="0.25"/>
    <row r="37" x14ac:dyDescent="0.25"/>
    <row r="38" x14ac:dyDescent="0.25"/>
    <row r="39" x14ac:dyDescent="0.25"/>
    <row r="40" x14ac:dyDescent="0.25"/>
    <row r="41" x14ac:dyDescent="0.25"/>
    <row r="42" x14ac:dyDescent="0.25"/>
    <row r="43" x14ac:dyDescent="0.25"/>
  </sheetData>
  <mergeCells count="1">
    <mergeCell ref="B2:C2"/>
  </mergeCells>
  <pageMargins left="0.7" right="0.7" top="0.75" bottom="0.75" header="0.3" footer="0.3"/>
  <pageSetup scale="50" fitToHeight="0" orientation="portrait" r:id="rId1"/>
  <headerFooter>
    <oddHeader>&amp;CCity, State
&amp;F&amp;R&amp;A</oddHeader>
    <oddFooter>&amp;LTSSI Consulting LLC, October 2023&amp;CPage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00"/>
    <pageSetUpPr fitToPage="1"/>
  </sheetPr>
  <dimension ref="A1:M20"/>
  <sheetViews>
    <sheetView showGridLines="0" tabSelected="1" zoomScale="80" zoomScaleNormal="80" zoomScalePageLayoutView="40" workbookViewId="0">
      <selection activeCell="F4" sqref="F4"/>
    </sheetView>
  </sheetViews>
  <sheetFormatPr defaultColWidth="0" defaultRowHeight="15" zeroHeight="1" x14ac:dyDescent="0.25"/>
  <cols>
    <col min="1" max="1" width="1.28515625" customWidth="1"/>
    <col min="2" max="2" width="11.7109375" customWidth="1"/>
    <col min="3" max="3" width="11.42578125" customWidth="1"/>
    <col min="4" max="4" width="23.28515625" customWidth="1"/>
    <col min="5" max="5" width="65.7109375" style="63" customWidth="1"/>
    <col min="6" max="6" width="28.7109375" customWidth="1"/>
    <col min="7" max="7" width="15.42578125" style="64" hidden="1" customWidth="1"/>
    <col min="8" max="11" width="12.7109375" hidden="1" customWidth="1"/>
    <col min="12" max="12" width="49.42578125" customWidth="1"/>
    <col min="13" max="13" width="2" customWidth="1"/>
    <col min="14" max="16384" width="9.28515625" hidden="1"/>
  </cols>
  <sheetData>
    <row r="1" spans="2:12" ht="3.6" customHeight="1" thickBot="1" x14ac:dyDescent="0.3"/>
    <row r="2" spans="2:12" s="71" customFormat="1" ht="129" customHeight="1" thickBot="1" x14ac:dyDescent="0.25">
      <c r="B2" s="95" t="s">
        <v>44</v>
      </c>
      <c r="C2" s="95" t="s">
        <v>45</v>
      </c>
      <c r="D2" s="95" t="s">
        <v>46</v>
      </c>
      <c r="E2" s="95" t="s">
        <v>101</v>
      </c>
      <c r="F2" s="95" t="s">
        <v>42</v>
      </c>
      <c r="G2" s="96" t="s">
        <v>48</v>
      </c>
      <c r="H2" s="96" t="s">
        <v>49</v>
      </c>
      <c r="I2" s="97" t="s">
        <v>50</v>
      </c>
      <c r="J2" s="97" t="s">
        <v>51</v>
      </c>
      <c r="K2" s="98" t="s">
        <v>14</v>
      </c>
      <c r="L2" s="99" t="s">
        <v>52</v>
      </c>
    </row>
    <row r="3" spans="2:12" ht="16.5" thickBot="1" x14ac:dyDescent="0.3">
      <c r="B3" s="100" t="s">
        <v>102</v>
      </c>
      <c r="C3" s="72"/>
      <c r="D3" s="72"/>
      <c r="E3" s="72"/>
      <c r="F3" s="72"/>
      <c r="G3" s="73" t="s">
        <v>54</v>
      </c>
      <c r="H3" s="74">
        <f>COUNTA(D4:D478)</f>
        <v>9</v>
      </c>
      <c r="I3" s="75"/>
      <c r="J3" s="76" t="s">
        <v>55</v>
      </c>
      <c r="K3" s="77">
        <f t="shared" ref="K3" si="0">SUM(K4:K478)</f>
        <v>0</v>
      </c>
      <c r="L3" s="101"/>
    </row>
    <row r="4" spans="2:12" ht="30" customHeight="1" x14ac:dyDescent="0.25">
      <c r="B4" s="102" t="s">
        <v>103</v>
      </c>
      <c r="C4" s="79">
        <v>1</v>
      </c>
      <c r="D4" s="80" t="s">
        <v>10</v>
      </c>
      <c r="E4" s="103" t="s">
        <v>104</v>
      </c>
      <c r="F4" s="223" t="s">
        <v>43</v>
      </c>
      <c r="G4" s="224" t="s">
        <v>57</v>
      </c>
      <c r="H4" s="225">
        <f>COUNTIF(F4:F478,"Select from Drop Down")</f>
        <v>9</v>
      </c>
      <c r="I4" s="226">
        <f>VLOOKUP($D4,SpecData,2,FALSE)</f>
        <v>2</v>
      </c>
      <c r="J4" s="227">
        <f>VLOOKUP($F4,AvailabilityData,2,FALSE)</f>
        <v>0</v>
      </c>
      <c r="K4" s="228">
        <f>I4*J4</f>
        <v>0</v>
      </c>
      <c r="L4" s="26"/>
    </row>
    <row r="5" spans="2:12" ht="30" customHeight="1" x14ac:dyDescent="0.25">
      <c r="B5" s="102" t="str">
        <f>IF(C5="","",$B$4)</f>
        <v>IAlm</v>
      </c>
      <c r="C5" s="79">
        <f>IF(ISTEXT(D5),MAX($C$4:$C4)+1,"")</f>
        <v>2</v>
      </c>
      <c r="D5" s="80" t="s">
        <v>10</v>
      </c>
      <c r="E5" s="104" t="s">
        <v>105</v>
      </c>
      <c r="F5" s="229" t="s">
        <v>43</v>
      </c>
      <c r="G5" s="224" t="s">
        <v>59</v>
      </c>
      <c r="H5" s="225">
        <f>COUNTIF(F4:F478,"Function Available")</f>
        <v>0</v>
      </c>
      <c r="I5" s="226">
        <f>VLOOKUP($D5,SpecData,2,FALSE)</f>
        <v>2</v>
      </c>
      <c r="J5" s="227">
        <f>VLOOKUP($F5,AvailabilityData,2,FALSE)</f>
        <v>0</v>
      </c>
      <c r="K5" s="228">
        <f t="shared" ref="K5:K12" si="1">I5*J5</f>
        <v>0</v>
      </c>
      <c r="L5" s="26"/>
    </row>
    <row r="6" spans="2:12" ht="42.75" x14ac:dyDescent="0.25">
      <c r="B6" s="102" t="str">
        <f>IF(C6="","",$B$4)</f>
        <v>IAlm</v>
      </c>
      <c r="C6" s="79">
        <f>IF(ISTEXT(D6),MAX($C$4:$C5)+1,"")</f>
        <v>3</v>
      </c>
      <c r="D6" s="80" t="s">
        <v>10</v>
      </c>
      <c r="E6" s="104" t="s">
        <v>708</v>
      </c>
      <c r="F6" s="230" t="s">
        <v>43</v>
      </c>
      <c r="G6" s="224" t="s">
        <v>61</v>
      </c>
      <c r="H6" s="231">
        <f>COUNTIF(F4:F478,"Function Not Available")</f>
        <v>0</v>
      </c>
      <c r="I6" s="226">
        <f t="shared" ref="I6:I12" si="2">VLOOKUP($D6,SpecData,2,FALSE)</f>
        <v>2</v>
      </c>
      <c r="J6" s="227">
        <f t="shared" ref="J6:J12" si="3">VLOOKUP($F6,AvailabilityData,2,FALSE)</f>
        <v>0</v>
      </c>
      <c r="K6" s="228">
        <f t="shared" si="1"/>
        <v>0</v>
      </c>
      <c r="L6" s="26"/>
    </row>
    <row r="7" spans="2:12" ht="30" customHeight="1" x14ac:dyDescent="0.25">
      <c r="B7" s="102" t="str">
        <f t="shared" ref="B7:B12" si="4">IF(C7="","",$B$4)</f>
        <v>IAlm</v>
      </c>
      <c r="C7" s="79">
        <f>IF(ISTEXT(D7),MAX($C$4:$C6)+1,"")</f>
        <v>4</v>
      </c>
      <c r="D7" s="80" t="s">
        <v>10</v>
      </c>
      <c r="E7" s="104" t="s">
        <v>106</v>
      </c>
      <c r="F7" s="229" t="s">
        <v>43</v>
      </c>
      <c r="G7" s="224" t="s">
        <v>63</v>
      </c>
      <c r="H7" s="231">
        <f>COUNTIF(F4:F478,"Exception")</f>
        <v>0</v>
      </c>
      <c r="I7" s="226">
        <f t="shared" si="2"/>
        <v>2</v>
      </c>
      <c r="J7" s="227">
        <f t="shared" si="3"/>
        <v>0</v>
      </c>
      <c r="K7" s="228">
        <f t="shared" si="1"/>
        <v>0</v>
      </c>
      <c r="L7" s="26"/>
    </row>
    <row r="8" spans="2:12" ht="30" customHeight="1" x14ac:dyDescent="0.25">
      <c r="B8" s="102" t="str">
        <f t="shared" si="4"/>
        <v>IAlm</v>
      </c>
      <c r="C8" s="79">
        <f>IF(ISTEXT(D8),MAX($C$4:$C7)+1,"")</f>
        <v>5</v>
      </c>
      <c r="D8" s="80" t="s">
        <v>10</v>
      </c>
      <c r="E8" s="104" t="s">
        <v>107</v>
      </c>
      <c r="F8" s="229" t="s">
        <v>43</v>
      </c>
      <c r="G8" s="224" t="s">
        <v>65</v>
      </c>
      <c r="H8" s="232">
        <f>COUNTIFS(D:D,"=Crucial",F:F,"=Select From Drop Down")</f>
        <v>0</v>
      </c>
      <c r="I8" s="226">
        <f t="shared" si="2"/>
        <v>2</v>
      </c>
      <c r="J8" s="227">
        <f t="shared" si="3"/>
        <v>0</v>
      </c>
      <c r="K8" s="228">
        <f t="shared" si="1"/>
        <v>0</v>
      </c>
      <c r="L8" s="26"/>
    </row>
    <row r="9" spans="2:12" ht="30" customHeight="1" x14ac:dyDescent="0.25">
      <c r="B9" s="102" t="str">
        <f t="shared" si="4"/>
        <v>IAlm</v>
      </c>
      <c r="C9" s="79">
        <f>IF(ISTEXT(D9),MAX($C$4:$C8)+1,"")</f>
        <v>6</v>
      </c>
      <c r="D9" s="80" t="s">
        <v>10</v>
      </c>
      <c r="E9" s="104" t="s">
        <v>108</v>
      </c>
      <c r="F9" s="229" t="s">
        <v>43</v>
      </c>
      <c r="G9" s="224" t="s">
        <v>67</v>
      </c>
      <c r="H9" s="232">
        <f>COUNTIFS(D:D,"=Crucial",F:F,"=Function Available")</f>
        <v>0</v>
      </c>
      <c r="I9" s="226">
        <f t="shared" si="2"/>
        <v>2</v>
      </c>
      <c r="J9" s="227">
        <f t="shared" si="3"/>
        <v>0</v>
      </c>
      <c r="K9" s="228">
        <f t="shared" si="1"/>
        <v>0</v>
      </c>
      <c r="L9" s="26"/>
    </row>
    <row r="10" spans="2:12" ht="30" customHeight="1" x14ac:dyDescent="0.25">
      <c r="B10" s="102" t="str">
        <f t="shared" si="4"/>
        <v>IAlm</v>
      </c>
      <c r="C10" s="79">
        <f>IF(ISTEXT(D10),MAX($C$4:$C9)+1,"")</f>
        <v>7</v>
      </c>
      <c r="D10" s="80" t="s">
        <v>10</v>
      </c>
      <c r="E10" s="104" t="s">
        <v>109</v>
      </c>
      <c r="F10" s="229" t="s">
        <v>43</v>
      </c>
      <c r="G10" s="224" t="s">
        <v>69</v>
      </c>
      <c r="H10" s="232">
        <f>COUNTIFS(D:D,"=Crucial",F:F,"=Function Not Available")</f>
        <v>0</v>
      </c>
      <c r="I10" s="226">
        <f t="shared" si="2"/>
        <v>2</v>
      </c>
      <c r="J10" s="227">
        <f t="shared" si="3"/>
        <v>0</v>
      </c>
      <c r="K10" s="228">
        <f t="shared" si="1"/>
        <v>0</v>
      </c>
      <c r="L10" s="26"/>
    </row>
    <row r="11" spans="2:12" ht="30" customHeight="1" x14ac:dyDescent="0.25">
      <c r="B11" s="102" t="str">
        <f t="shared" si="4"/>
        <v>IAlm</v>
      </c>
      <c r="C11" s="79">
        <f>IF(ISTEXT(D11),MAX($C$4:$C10)+1,"")</f>
        <v>8</v>
      </c>
      <c r="D11" s="80" t="s">
        <v>10</v>
      </c>
      <c r="E11" s="104" t="s">
        <v>110</v>
      </c>
      <c r="F11" s="229" t="s">
        <v>43</v>
      </c>
      <c r="G11" s="224" t="s">
        <v>70</v>
      </c>
      <c r="H11" s="232">
        <f>COUNTIFS(D:D,"=Crucial",F:F,"=Exception")</f>
        <v>0</v>
      </c>
      <c r="I11" s="226">
        <f t="shared" si="2"/>
        <v>2</v>
      </c>
      <c r="J11" s="227">
        <f t="shared" si="3"/>
        <v>0</v>
      </c>
      <c r="K11" s="228">
        <f t="shared" si="1"/>
        <v>0</v>
      </c>
      <c r="L11" s="26"/>
    </row>
    <row r="12" spans="2:12" ht="30" customHeight="1" thickBot="1" x14ac:dyDescent="0.3">
      <c r="B12" s="105" t="str">
        <f t="shared" si="4"/>
        <v>IAlm</v>
      </c>
      <c r="C12" s="106">
        <f>IF(ISTEXT(D12),MAX($C$4:$C11)+1,"")</f>
        <v>9</v>
      </c>
      <c r="D12" s="80" t="s">
        <v>10</v>
      </c>
      <c r="E12" s="107" t="s">
        <v>111</v>
      </c>
      <c r="F12" s="244" t="s">
        <v>43</v>
      </c>
      <c r="G12" s="245" t="s">
        <v>72</v>
      </c>
      <c r="H12" s="246">
        <f>COUNTIFS(D:D,"=Important",F:F,"=Select From Drop Down")</f>
        <v>9</v>
      </c>
      <c r="I12" s="247">
        <f t="shared" si="2"/>
        <v>2</v>
      </c>
      <c r="J12" s="248">
        <f t="shared" si="3"/>
        <v>0</v>
      </c>
      <c r="K12" s="249">
        <f t="shared" si="1"/>
        <v>0</v>
      </c>
      <c r="L12" s="27"/>
    </row>
    <row r="13" spans="2:12" ht="30" hidden="1" customHeight="1" x14ac:dyDescent="0.25">
      <c r="B13" s="108"/>
      <c r="C13" s="109"/>
      <c r="D13" s="110"/>
      <c r="E13" s="111"/>
      <c r="F13" s="112"/>
      <c r="G13" s="73" t="s">
        <v>74</v>
      </c>
      <c r="H13" s="113">
        <f>COUNTIFS(D:D,"=Important",F:F,"=Function Available")</f>
        <v>0</v>
      </c>
      <c r="I13" s="114"/>
      <c r="J13" s="115"/>
      <c r="K13" s="114"/>
      <c r="L13" s="116"/>
    </row>
    <row r="14" spans="2:12" ht="45.75" hidden="1" customHeight="1" x14ac:dyDescent="0.25">
      <c r="B14" s="108"/>
      <c r="C14" s="109"/>
      <c r="D14" s="110"/>
      <c r="E14" s="117"/>
      <c r="F14" s="118"/>
      <c r="G14" s="62" t="s">
        <v>76</v>
      </c>
      <c r="H14" s="119">
        <f>COUNTIFS(D:D,"=Important",F:F,"=Function Not Available")</f>
        <v>0</v>
      </c>
      <c r="I14" s="120"/>
      <c r="J14" s="121"/>
      <c r="K14" s="120"/>
      <c r="L14" s="85"/>
    </row>
    <row r="15" spans="2:12" ht="30" hidden="1" customHeight="1" x14ac:dyDescent="0.25">
      <c r="B15" s="108"/>
      <c r="C15" s="109"/>
      <c r="D15" s="110"/>
      <c r="E15" s="117"/>
      <c r="F15" s="118"/>
      <c r="G15" s="62" t="s">
        <v>77</v>
      </c>
      <c r="H15" s="119">
        <f>COUNTIFS(D:D,"=Important",F:F,"=Exception")</f>
        <v>0</v>
      </c>
      <c r="I15" s="120"/>
      <c r="J15" s="121"/>
      <c r="K15" s="120"/>
      <c r="L15" s="85"/>
    </row>
    <row r="16" spans="2:12" ht="30" hidden="1" customHeight="1" x14ac:dyDescent="0.25">
      <c r="B16" s="108"/>
      <c r="C16" s="109"/>
      <c r="D16" s="110"/>
      <c r="E16" s="122"/>
      <c r="F16" s="123"/>
      <c r="G16" s="62" t="s">
        <v>78</v>
      </c>
      <c r="H16" s="119">
        <f>COUNTIFS(D:D,"=Minimal",F:F,"=Select From Drop Down")</f>
        <v>0</v>
      </c>
      <c r="I16" s="120"/>
      <c r="J16" s="121"/>
      <c r="K16" s="120"/>
      <c r="L16" s="85"/>
    </row>
    <row r="17" spans="2:12" ht="30" hidden="1" customHeight="1" x14ac:dyDescent="0.25">
      <c r="B17" s="108"/>
      <c r="C17" s="109"/>
      <c r="D17" s="110"/>
      <c r="E17" s="122"/>
      <c r="F17" s="118"/>
      <c r="G17" s="62" t="s">
        <v>80</v>
      </c>
      <c r="H17" s="119">
        <f>COUNTIFS(D:D,"=Minimal",F:F,"=Function Available")</f>
        <v>0</v>
      </c>
      <c r="I17" s="120"/>
      <c r="J17" s="121"/>
      <c r="K17" s="120"/>
      <c r="L17" s="85"/>
    </row>
    <row r="18" spans="2:12" ht="30" hidden="1" customHeight="1" x14ac:dyDescent="0.25">
      <c r="B18" s="108"/>
      <c r="C18" s="109"/>
      <c r="D18" s="110"/>
      <c r="E18" s="122"/>
      <c r="F18" s="118"/>
      <c r="G18" s="62" t="s">
        <v>82</v>
      </c>
      <c r="H18" s="119">
        <f>COUNTIFS(D:D,"=Minimal",F:F,"=Function Not Available")</f>
        <v>0</v>
      </c>
      <c r="I18" s="120"/>
      <c r="J18" s="121"/>
      <c r="K18" s="120"/>
      <c r="L18" s="85"/>
    </row>
    <row r="19" spans="2:12" ht="30" hidden="1" customHeight="1" x14ac:dyDescent="0.25">
      <c r="B19" s="108"/>
      <c r="C19" s="109"/>
      <c r="D19" s="110"/>
      <c r="E19" s="122"/>
      <c r="F19" s="118"/>
      <c r="G19" s="62" t="s">
        <v>83</v>
      </c>
      <c r="H19" s="119">
        <f>COUNTIFS(D:D,"=Minimal",F:F,"=Exception")</f>
        <v>0</v>
      </c>
      <c r="I19" s="120"/>
      <c r="J19" s="121"/>
      <c r="K19" s="120"/>
      <c r="L19" s="85"/>
    </row>
    <row r="20" spans="2:12" ht="7.5" customHeight="1" x14ac:dyDescent="0.25"/>
  </sheetData>
  <sheetProtection algorithmName="SHA-512" hashValue="qwewQSCucIoXsw6m4pMz0dKd+02xwxYprGlkl9SjDxKR7gMwlQWfag+6moCT4oYpH9nNGs5w9n5wDQOzeNegpg==" saltValue="TgG2w+MBUJK6QzPBdie7Vw==" spinCount="100000" sheet="1" selectLockedCells="1"/>
  <conditionalFormatting sqref="D4:D19">
    <cfRule type="cellIs" dxfId="215" priority="1" operator="equal">
      <formula>"Important"</formula>
    </cfRule>
    <cfRule type="cellIs" dxfId="214" priority="2" operator="equal">
      <formula>"Crucial"</formula>
    </cfRule>
    <cfRule type="cellIs" dxfId="213" priority="3" operator="equal">
      <formula>"N/A"</formula>
    </cfRule>
  </conditionalFormatting>
  <conditionalFormatting sqref="F4:F19">
    <cfRule type="cellIs" dxfId="212" priority="7" operator="equal">
      <formula>"Function Not Available"</formula>
    </cfRule>
    <cfRule type="cellIs" dxfId="211" priority="8" operator="equal">
      <formula>"Function Available"</formula>
    </cfRule>
    <cfRule type="cellIs" dxfId="210" priority="9" operator="equal">
      <formula>"Exception"</formula>
    </cfRule>
  </conditionalFormatting>
  <dataValidations count="3">
    <dataValidation type="list" allowBlank="1" showInputMessage="1" showErrorMessage="1" sqref="F4:F5" xr:uid="{00000000-0002-0000-0300-000000000000}">
      <formula1>AvailabilityType</formula1>
    </dataValidation>
    <dataValidation type="list" allowBlank="1" showInputMessage="1" showErrorMessage="1" sqref="D4:D12" xr:uid="{8A9DD2DB-33BF-4E60-B654-53B1C07E1790}">
      <formula1>SpecType</formula1>
    </dataValidation>
    <dataValidation type="list" allowBlank="1" showInputMessage="1" showErrorMessage="1" errorTitle="Invalid specification type" error="Please enter a Specification type from the drop-down list." sqref="F6:F12" xr:uid="{00000000-0002-0000-0300-000002000000}">
      <formula1>AvailabilityType</formula1>
    </dataValidation>
  </dataValidations>
  <pageMargins left="0.7" right="0.7" top="0.75" bottom="0.75" header="0.3" footer="0.3"/>
  <pageSetup scale="47" fitToHeight="0" orientation="portrait" r:id="rId1"/>
  <headerFooter>
    <oddHeader>&amp;CGCCDA
&amp;F&amp;R&amp;A</oddHeader>
    <oddFooter>&amp;LTSSI Consulting LLC, March 2026&amp;CPage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CC00"/>
    <pageSetUpPr fitToPage="1"/>
  </sheetPr>
  <dimension ref="A1:M46"/>
  <sheetViews>
    <sheetView showGridLines="0" zoomScale="80" zoomScaleNormal="80" zoomScalePageLayoutView="40" workbookViewId="0">
      <selection activeCell="F4" sqref="F4"/>
    </sheetView>
  </sheetViews>
  <sheetFormatPr defaultColWidth="0" defaultRowHeight="15" zeroHeight="1" x14ac:dyDescent="0.25"/>
  <cols>
    <col min="1" max="1" width="2" customWidth="1"/>
    <col min="2" max="2" width="11.7109375" customWidth="1"/>
    <col min="3" max="3" width="11.42578125" customWidth="1"/>
    <col min="4" max="4" width="23.28515625" customWidth="1"/>
    <col min="5" max="5" width="65.7109375" style="63" customWidth="1"/>
    <col min="6" max="6" width="28.7109375" customWidth="1"/>
    <col min="7" max="7" width="15.42578125" style="64" hidden="1" customWidth="1"/>
    <col min="8" max="11" width="12.7109375" hidden="1" customWidth="1"/>
    <col min="12" max="12" width="49.42578125" customWidth="1"/>
    <col min="13" max="13" width="2" customWidth="1"/>
    <col min="14" max="16384" width="9.28515625" hidden="1"/>
  </cols>
  <sheetData>
    <row r="1" spans="2:12" ht="7.9" customHeight="1" x14ac:dyDescent="0.25"/>
    <row r="2" spans="2:12" s="71" customFormat="1" ht="129" customHeight="1" thickBot="1" x14ac:dyDescent="0.25">
      <c r="B2" s="65" t="s">
        <v>44</v>
      </c>
      <c r="C2" s="66" t="s">
        <v>45</v>
      </c>
      <c r="D2" s="66" t="s">
        <v>46</v>
      </c>
      <c r="E2" s="66" t="s">
        <v>47</v>
      </c>
      <c r="F2" s="66" t="s">
        <v>42</v>
      </c>
      <c r="G2" s="67" t="s">
        <v>48</v>
      </c>
      <c r="H2" s="67" t="s">
        <v>49</v>
      </c>
      <c r="I2" s="68" t="s">
        <v>50</v>
      </c>
      <c r="J2" s="68" t="s">
        <v>51</v>
      </c>
      <c r="K2" s="69" t="s">
        <v>14</v>
      </c>
      <c r="L2" s="70" t="s">
        <v>52</v>
      </c>
    </row>
    <row r="3" spans="2:12" ht="16.5" thickBot="1" x14ac:dyDescent="0.3">
      <c r="B3" s="72" t="s">
        <v>53</v>
      </c>
      <c r="C3" s="72"/>
      <c r="D3" s="72"/>
      <c r="E3" s="72"/>
      <c r="F3" s="72"/>
      <c r="G3" s="73" t="s">
        <v>54</v>
      </c>
      <c r="H3" s="74">
        <f>COUNTA(D4:D504)</f>
        <v>42</v>
      </c>
      <c r="I3" s="75"/>
      <c r="J3" s="76" t="s">
        <v>55</v>
      </c>
      <c r="K3" s="77">
        <f>SUM(K4:K45)</f>
        <v>0</v>
      </c>
      <c r="L3" s="72"/>
    </row>
    <row r="4" spans="2:12" ht="30" customHeight="1" x14ac:dyDescent="0.25">
      <c r="B4" s="78" t="s">
        <v>56</v>
      </c>
      <c r="C4" s="79">
        <v>1</v>
      </c>
      <c r="D4" s="80" t="s">
        <v>9</v>
      </c>
      <c r="E4" s="81" t="s">
        <v>641</v>
      </c>
      <c r="F4" s="223" t="s">
        <v>43</v>
      </c>
      <c r="G4" s="224" t="s">
        <v>57</v>
      </c>
      <c r="H4" s="225">
        <f>COUNTIF(F4:F504,"Select from Drop Down")</f>
        <v>42</v>
      </c>
      <c r="I4" s="226">
        <f>VLOOKUP($D4,SpecData,2,FALSE)</f>
        <v>3</v>
      </c>
      <c r="J4" s="227">
        <f>VLOOKUP($F4,AvailabilityData,2,FALSE)</f>
        <v>0</v>
      </c>
      <c r="K4" s="228">
        <f t="shared" ref="K4:K45" si="0">I4*J4</f>
        <v>0</v>
      </c>
      <c r="L4" s="20"/>
    </row>
    <row r="5" spans="2:12" ht="30" customHeight="1" x14ac:dyDescent="0.25">
      <c r="B5" s="78" t="str">
        <f>IF(C5="","",$B$4)</f>
        <v>IGen</v>
      </c>
      <c r="C5" s="79">
        <f>IF(ISTEXT(D5),MAX($C$4:$C4)+1,"")</f>
        <v>2</v>
      </c>
      <c r="D5" s="80" t="s">
        <v>9</v>
      </c>
      <c r="E5" s="81" t="s">
        <v>58</v>
      </c>
      <c r="F5" s="229" t="s">
        <v>43</v>
      </c>
      <c r="G5" s="224" t="s">
        <v>59</v>
      </c>
      <c r="H5" s="225">
        <f>COUNTIF(F4:F504,"Function Available")</f>
        <v>0</v>
      </c>
      <c r="I5" s="226">
        <f>VLOOKUP($D5,SpecData,2,FALSE)</f>
        <v>3</v>
      </c>
      <c r="J5" s="227">
        <f>VLOOKUP($F5,AvailabilityData,2,FALSE)</f>
        <v>0</v>
      </c>
      <c r="K5" s="228">
        <f t="shared" si="0"/>
        <v>0</v>
      </c>
      <c r="L5" s="20"/>
    </row>
    <row r="6" spans="2:12" ht="30" customHeight="1" x14ac:dyDescent="0.25">
      <c r="B6" s="78" t="str">
        <f>IF(C6="","",$B$4)</f>
        <v>IGen</v>
      </c>
      <c r="C6" s="79">
        <f>IF(ISTEXT(D6),MAX($C$4:$C5)+1,"")</f>
        <v>3</v>
      </c>
      <c r="D6" s="80" t="s">
        <v>10</v>
      </c>
      <c r="E6" s="81" t="s">
        <v>60</v>
      </c>
      <c r="F6" s="230" t="s">
        <v>43</v>
      </c>
      <c r="G6" s="224" t="s">
        <v>61</v>
      </c>
      <c r="H6" s="231">
        <f>COUNTIF(F4:F504,"Function Not Available")</f>
        <v>0</v>
      </c>
      <c r="I6" s="226">
        <f t="shared" ref="I6:I12" si="1">VLOOKUP($D6,SpecData,2,FALSE)</f>
        <v>2</v>
      </c>
      <c r="J6" s="227">
        <f t="shared" ref="J6:J12" si="2">VLOOKUP($F6,AvailabilityData,2,FALSE)</f>
        <v>0</v>
      </c>
      <c r="K6" s="228">
        <f t="shared" si="0"/>
        <v>0</v>
      </c>
      <c r="L6" s="20"/>
    </row>
    <row r="7" spans="2:12" ht="30" customHeight="1" x14ac:dyDescent="0.25">
      <c r="B7" s="78" t="str">
        <f t="shared" ref="B7:B45" si="3">IF(C7="","",$B$4)</f>
        <v>IGen</v>
      </c>
      <c r="C7" s="79">
        <f>IF(ISTEXT(D7),MAX($C$4:$C6)+1,"")</f>
        <v>4</v>
      </c>
      <c r="D7" s="80" t="s">
        <v>11</v>
      </c>
      <c r="E7" s="81" t="s">
        <v>62</v>
      </c>
      <c r="F7" s="229" t="s">
        <v>43</v>
      </c>
      <c r="G7" s="224" t="s">
        <v>63</v>
      </c>
      <c r="H7" s="231">
        <f>COUNTIF(F4:F504,"Exception")</f>
        <v>0</v>
      </c>
      <c r="I7" s="226">
        <f t="shared" si="1"/>
        <v>1</v>
      </c>
      <c r="J7" s="227">
        <f t="shared" si="2"/>
        <v>0</v>
      </c>
      <c r="K7" s="228">
        <f t="shared" si="0"/>
        <v>0</v>
      </c>
      <c r="L7" s="20"/>
    </row>
    <row r="8" spans="2:12" ht="30" customHeight="1" x14ac:dyDescent="0.25">
      <c r="B8" s="78" t="str">
        <f t="shared" si="3"/>
        <v>IGen</v>
      </c>
      <c r="C8" s="79">
        <f>IF(ISTEXT(D8),MAX($C$4:$C7)+1,"")</f>
        <v>5</v>
      </c>
      <c r="D8" s="80" t="s">
        <v>11</v>
      </c>
      <c r="E8" s="81" t="s">
        <v>64</v>
      </c>
      <c r="F8" s="229" t="s">
        <v>43</v>
      </c>
      <c r="G8" s="224" t="s">
        <v>65</v>
      </c>
      <c r="H8" s="232">
        <f>COUNTIFS(D:D,"=Crucial",F:F,"=Select From Drop Down")</f>
        <v>16</v>
      </c>
      <c r="I8" s="226">
        <f t="shared" si="1"/>
        <v>1</v>
      </c>
      <c r="J8" s="227">
        <f t="shared" si="2"/>
        <v>0</v>
      </c>
      <c r="K8" s="228">
        <f t="shared" si="0"/>
        <v>0</v>
      </c>
      <c r="L8" s="20"/>
    </row>
    <row r="9" spans="2:12" ht="30" customHeight="1" x14ac:dyDescent="0.25">
      <c r="B9" s="78" t="str">
        <f t="shared" si="3"/>
        <v>IGen</v>
      </c>
      <c r="C9" s="79">
        <f>IF(ISTEXT(D9),MAX($C$4:$C8)+1,"")</f>
        <v>6</v>
      </c>
      <c r="D9" s="80" t="s">
        <v>9</v>
      </c>
      <c r="E9" s="88" t="s">
        <v>66</v>
      </c>
      <c r="F9" s="229" t="s">
        <v>43</v>
      </c>
      <c r="G9" s="224" t="s">
        <v>67</v>
      </c>
      <c r="H9" s="232">
        <f>COUNTIFS(D:D,"=Crucial",F:F,"=Function Available")</f>
        <v>0</v>
      </c>
      <c r="I9" s="226">
        <f t="shared" si="1"/>
        <v>3</v>
      </c>
      <c r="J9" s="227">
        <f t="shared" si="2"/>
        <v>0</v>
      </c>
      <c r="K9" s="228">
        <f t="shared" si="0"/>
        <v>0</v>
      </c>
      <c r="L9" s="20"/>
    </row>
    <row r="10" spans="2:12" ht="30" customHeight="1" x14ac:dyDescent="0.25">
      <c r="B10" s="78" t="str">
        <f t="shared" si="3"/>
        <v>IGen</v>
      </c>
      <c r="C10" s="79">
        <f>IF(ISTEXT(D10),MAX($C$4:$C9)+1,"")</f>
        <v>7</v>
      </c>
      <c r="D10" s="80" t="s">
        <v>9</v>
      </c>
      <c r="E10" s="81" t="s">
        <v>68</v>
      </c>
      <c r="F10" s="229" t="s">
        <v>43</v>
      </c>
      <c r="G10" s="224" t="s">
        <v>69</v>
      </c>
      <c r="H10" s="232">
        <f>COUNTIFS(D:D,"=Crucial",F:F,"=Function Not Available")</f>
        <v>0</v>
      </c>
      <c r="I10" s="226">
        <f t="shared" si="1"/>
        <v>3</v>
      </c>
      <c r="J10" s="227">
        <f t="shared" si="2"/>
        <v>0</v>
      </c>
      <c r="K10" s="228">
        <f t="shared" si="0"/>
        <v>0</v>
      </c>
      <c r="L10" s="20"/>
    </row>
    <row r="11" spans="2:12" ht="30" customHeight="1" x14ac:dyDescent="0.25">
      <c r="B11" s="78" t="str">
        <f t="shared" si="3"/>
        <v>IGen</v>
      </c>
      <c r="C11" s="79">
        <f>IF(ISTEXT(D11),MAX($C$4:$C10)+1,"")</f>
        <v>8</v>
      </c>
      <c r="D11" s="80" t="s">
        <v>9</v>
      </c>
      <c r="E11" s="89" t="s">
        <v>642</v>
      </c>
      <c r="F11" s="229" t="s">
        <v>43</v>
      </c>
      <c r="G11" s="224" t="s">
        <v>70</v>
      </c>
      <c r="H11" s="232">
        <f>COUNTIFS(D:D,"=Crucial",F:F,"=Exception")</f>
        <v>0</v>
      </c>
      <c r="I11" s="226">
        <f t="shared" si="1"/>
        <v>3</v>
      </c>
      <c r="J11" s="227">
        <f t="shared" si="2"/>
        <v>0</v>
      </c>
      <c r="K11" s="228">
        <f t="shared" si="0"/>
        <v>0</v>
      </c>
      <c r="L11" s="20"/>
    </row>
    <row r="12" spans="2:12" ht="30" customHeight="1" x14ac:dyDescent="0.25">
      <c r="B12" s="78" t="str">
        <f t="shared" si="3"/>
        <v>IGen</v>
      </c>
      <c r="C12" s="79">
        <f>IF(ISTEXT(D12),MAX($C$4:$C11)+1,"")</f>
        <v>9</v>
      </c>
      <c r="D12" s="80" t="s">
        <v>41</v>
      </c>
      <c r="E12" s="88" t="s">
        <v>71</v>
      </c>
      <c r="F12" s="86" t="s">
        <v>43</v>
      </c>
      <c r="G12" s="73" t="s">
        <v>72</v>
      </c>
      <c r="H12" s="90">
        <f>COUNTIFS(D:D,"=Important",F:F,"=Select From Drop Down")</f>
        <v>12</v>
      </c>
      <c r="I12" s="82">
        <f t="shared" si="1"/>
        <v>0</v>
      </c>
      <c r="J12" s="83">
        <f t="shared" si="2"/>
        <v>0</v>
      </c>
      <c r="K12" s="84">
        <f t="shared" si="0"/>
        <v>0</v>
      </c>
      <c r="L12" s="85"/>
    </row>
    <row r="13" spans="2:12" ht="30" customHeight="1" x14ac:dyDescent="0.25">
      <c r="B13" s="78" t="str">
        <f t="shared" si="3"/>
        <v>IGen</v>
      </c>
      <c r="C13" s="79">
        <f>IF(ISTEXT(D13),MAX($C$4:$C12)+1,"")</f>
        <v>10</v>
      </c>
      <c r="D13" s="80" t="s">
        <v>11</v>
      </c>
      <c r="E13" s="81" t="s">
        <v>73</v>
      </c>
      <c r="F13" s="229" t="s">
        <v>43</v>
      </c>
      <c r="G13" s="233" t="s">
        <v>74</v>
      </c>
      <c r="H13" s="234">
        <f>COUNTIFS(D:D,"=Important",F:F,"=Function Available")</f>
        <v>0</v>
      </c>
      <c r="I13" s="226">
        <f t="shared" ref="I13:I25" si="4">VLOOKUP($D13,SpecData,2,FALSE)</f>
        <v>1</v>
      </c>
      <c r="J13" s="227">
        <f t="shared" ref="J13:J25" si="5">VLOOKUP($F13,AvailabilityData,2,FALSE)</f>
        <v>0</v>
      </c>
      <c r="K13" s="228">
        <f t="shared" si="0"/>
        <v>0</v>
      </c>
      <c r="L13" s="20"/>
    </row>
    <row r="14" spans="2:12" ht="35.65" customHeight="1" x14ac:dyDescent="0.25">
      <c r="B14" s="78" t="str">
        <f t="shared" si="3"/>
        <v>IGen</v>
      </c>
      <c r="C14" s="79">
        <f>IF(ISTEXT(D14),MAX($C$4:$C13)+1,"")</f>
        <v>11</v>
      </c>
      <c r="D14" s="80" t="s">
        <v>9</v>
      </c>
      <c r="E14" s="81" t="s">
        <v>75</v>
      </c>
      <c r="F14" s="229" t="s">
        <v>43</v>
      </c>
      <c r="G14" s="224" t="s">
        <v>76</v>
      </c>
      <c r="H14" s="232">
        <f>COUNTIFS(D:D,"=Important",F:F,"=Function Not Available")</f>
        <v>0</v>
      </c>
      <c r="I14" s="235">
        <f t="shared" si="4"/>
        <v>3</v>
      </c>
      <c r="J14" s="236">
        <f t="shared" si="5"/>
        <v>0</v>
      </c>
      <c r="K14" s="228">
        <f t="shared" si="0"/>
        <v>0</v>
      </c>
      <c r="L14" s="20"/>
    </row>
    <row r="15" spans="2:12" ht="30" customHeight="1" x14ac:dyDescent="0.25">
      <c r="B15" s="78" t="str">
        <f t="shared" si="3"/>
        <v>IGen</v>
      </c>
      <c r="C15" s="79">
        <f>IF(ISTEXT(D15),MAX($C$4:$C14)+1,"")</f>
        <v>12</v>
      </c>
      <c r="D15" s="80" t="s">
        <v>9</v>
      </c>
      <c r="E15" s="81" t="s">
        <v>715</v>
      </c>
      <c r="F15" s="229" t="s">
        <v>43</v>
      </c>
      <c r="G15" s="224" t="s">
        <v>77</v>
      </c>
      <c r="H15" s="232">
        <f>COUNTIFS(D:D,"=Important",F:F,"=Exception")</f>
        <v>0</v>
      </c>
      <c r="I15" s="235">
        <f t="shared" si="4"/>
        <v>3</v>
      </c>
      <c r="J15" s="236">
        <f t="shared" si="5"/>
        <v>0</v>
      </c>
      <c r="K15" s="228">
        <f t="shared" si="0"/>
        <v>0</v>
      </c>
      <c r="L15" s="20"/>
    </row>
    <row r="16" spans="2:12" ht="30" customHeight="1" x14ac:dyDescent="0.25">
      <c r="B16" s="78" t="str">
        <f t="shared" si="3"/>
        <v>IGen</v>
      </c>
      <c r="C16" s="79">
        <f>IF(ISTEXT(D16),MAX($C$4:$C15)+1,"")</f>
        <v>13</v>
      </c>
      <c r="D16" s="80" t="s">
        <v>9</v>
      </c>
      <c r="E16" s="88" t="s">
        <v>711</v>
      </c>
      <c r="F16" s="230" t="s">
        <v>43</v>
      </c>
      <c r="G16" s="224" t="s">
        <v>78</v>
      </c>
      <c r="H16" s="232">
        <f>COUNTIFS(D:D,"=Minimal",F:F,"=Select From Drop Down")</f>
        <v>12</v>
      </c>
      <c r="I16" s="235">
        <f t="shared" si="4"/>
        <v>3</v>
      </c>
      <c r="J16" s="236">
        <f t="shared" si="5"/>
        <v>0</v>
      </c>
      <c r="K16" s="228">
        <f t="shared" si="0"/>
        <v>0</v>
      </c>
      <c r="L16" s="20"/>
    </row>
    <row r="17" spans="2:12" ht="30" customHeight="1" x14ac:dyDescent="0.25">
      <c r="B17" s="78" t="str">
        <f t="shared" si="3"/>
        <v>IGen</v>
      </c>
      <c r="C17" s="79">
        <f>IF(ISTEXT(D17),MAX($C$4:$C16)+1,"")</f>
        <v>14</v>
      </c>
      <c r="D17" s="80" t="s">
        <v>11</v>
      </c>
      <c r="E17" s="88" t="s">
        <v>79</v>
      </c>
      <c r="F17" s="229" t="s">
        <v>43</v>
      </c>
      <c r="G17" s="224" t="s">
        <v>80</v>
      </c>
      <c r="H17" s="232">
        <f>COUNTIFS(D:D,"=Minimal",F:F,"=Function Available")</f>
        <v>0</v>
      </c>
      <c r="I17" s="235">
        <f t="shared" si="4"/>
        <v>1</v>
      </c>
      <c r="J17" s="236">
        <f t="shared" si="5"/>
        <v>0</v>
      </c>
      <c r="K17" s="228">
        <f t="shared" si="0"/>
        <v>0</v>
      </c>
      <c r="L17" s="20"/>
    </row>
    <row r="18" spans="2:12" ht="30" customHeight="1" x14ac:dyDescent="0.25">
      <c r="B18" s="78" t="str">
        <f t="shared" si="3"/>
        <v>IGen</v>
      </c>
      <c r="C18" s="79">
        <f>IF(ISTEXT(D18),MAX($C$4:$C17)+1,"")</f>
        <v>15</v>
      </c>
      <c r="D18" s="80" t="s">
        <v>10</v>
      </c>
      <c r="E18" s="88" t="s">
        <v>81</v>
      </c>
      <c r="F18" s="229" t="s">
        <v>43</v>
      </c>
      <c r="G18" s="224" t="s">
        <v>82</v>
      </c>
      <c r="H18" s="232">
        <f>COUNTIFS(D:D,"=Minimal",F:F,"=Function Not Available")</f>
        <v>0</v>
      </c>
      <c r="I18" s="235">
        <f t="shared" si="4"/>
        <v>2</v>
      </c>
      <c r="J18" s="236">
        <f t="shared" si="5"/>
        <v>0</v>
      </c>
      <c r="K18" s="228">
        <f t="shared" si="0"/>
        <v>0</v>
      </c>
      <c r="L18" s="20"/>
    </row>
    <row r="19" spans="2:12" ht="30" customHeight="1" x14ac:dyDescent="0.25">
      <c r="B19" s="78" t="str">
        <f t="shared" si="3"/>
        <v>IGen</v>
      </c>
      <c r="C19" s="79">
        <f>IF(ISTEXT(D19),MAX($C$4:$C18)+1,"")</f>
        <v>16</v>
      </c>
      <c r="D19" s="80" t="s">
        <v>9</v>
      </c>
      <c r="E19" s="88" t="s">
        <v>710</v>
      </c>
      <c r="F19" s="229" t="s">
        <v>43</v>
      </c>
      <c r="G19" s="224" t="s">
        <v>83</v>
      </c>
      <c r="H19" s="232">
        <f>COUNTIFS(D:D,"=Minimal",F:F,"=Exception")</f>
        <v>0</v>
      </c>
      <c r="I19" s="235">
        <f t="shared" si="4"/>
        <v>3</v>
      </c>
      <c r="J19" s="236">
        <f t="shared" si="5"/>
        <v>0</v>
      </c>
      <c r="K19" s="228">
        <f t="shared" si="0"/>
        <v>0</v>
      </c>
      <c r="L19" s="20"/>
    </row>
    <row r="20" spans="2:12" ht="30" customHeight="1" x14ac:dyDescent="0.25">
      <c r="B20" s="78" t="str">
        <f t="shared" si="3"/>
        <v>IGen</v>
      </c>
      <c r="C20" s="79">
        <f>IF(ISTEXT(D20),MAX($C$4:$C19)+1,"")</f>
        <v>17</v>
      </c>
      <c r="D20" s="80" t="s">
        <v>10</v>
      </c>
      <c r="E20" s="89" t="s">
        <v>709</v>
      </c>
      <c r="F20" s="229" t="s">
        <v>43</v>
      </c>
      <c r="G20" s="224"/>
      <c r="H20" s="231"/>
      <c r="I20" s="235">
        <f t="shared" si="4"/>
        <v>2</v>
      </c>
      <c r="J20" s="236">
        <f t="shared" si="5"/>
        <v>0</v>
      </c>
      <c r="K20" s="228">
        <f t="shared" si="0"/>
        <v>0</v>
      </c>
      <c r="L20" s="20"/>
    </row>
    <row r="21" spans="2:12" ht="30" customHeight="1" x14ac:dyDescent="0.25">
      <c r="B21" s="78" t="str">
        <f t="shared" si="3"/>
        <v>IGen</v>
      </c>
      <c r="C21" s="79">
        <f>IF(ISTEXT(D21),MAX($C$4:$C20)+1,"")</f>
        <v>18</v>
      </c>
      <c r="D21" s="80" t="s">
        <v>10</v>
      </c>
      <c r="E21" s="88" t="s">
        <v>643</v>
      </c>
      <c r="F21" s="229" t="s">
        <v>43</v>
      </c>
      <c r="G21" s="224"/>
      <c r="H21" s="231"/>
      <c r="I21" s="235">
        <f t="shared" si="4"/>
        <v>2</v>
      </c>
      <c r="J21" s="236">
        <f t="shared" si="5"/>
        <v>0</v>
      </c>
      <c r="K21" s="228">
        <f t="shared" si="0"/>
        <v>0</v>
      </c>
      <c r="L21" s="20"/>
    </row>
    <row r="22" spans="2:12" ht="30" customHeight="1" x14ac:dyDescent="0.25">
      <c r="B22" s="78" t="str">
        <f t="shared" si="3"/>
        <v>IGen</v>
      </c>
      <c r="C22" s="79">
        <f>IF(ISTEXT(D22),MAX($C$4:$C21)+1,"")</f>
        <v>19</v>
      </c>
      <c r="D22" s="80" t="s">
        <v>10</v>
      </c>
      <c r="E22" s="93" t="s">
        <v>724</v>
      </c>
      <c r="F22" s="237" t="s">
        <v>43</v>
      </c>
      <c r="G22" s="224"/>
      <c r="H22" s="231"/>
      <c r="I22" s="235">
        <f>VLOOKUP($D22,SpecData,2,FALSE)</f>
        <v>2</v>
      </c>
      <c r="J22" s="236">
        <f>VLOOKUP($F22,AvailabilityData,2,FALSE)</f>
        <v>0</v>
      </c>
      <c r="K22" s="228">
        <f>I22*J22</f>
        <v>0</v>
      </c>
      <c r="L22" s="20"/>
    </row>
    <row r="23" spans="2:12" ht="30" customHeight="1" x14ac:dyDescent="0.25">
      <c r="B23" s="78" t="str">
        <f t="shared" si="3"/>
        <v>IGen</v>
      </c>
      <c r="C23" s="79">
        <f>IF(ISTEXT(D23),MAX($C$4:$C22)+1,"")</f>
        <v>20</v>
      </c>
      <c r="D23" s="80" t="s">
        <v>11</v>
      </c>
      <c r="E23" s="88" t="s">
        <v>84</v>
      </c>
      <c r="F23" s="223" t="s">
        <v>43</v>
      </c>
      <c r="G23" s="224"/>
      <c r="H23" s="231"/>
      <c r="I23" s="235">
        <f t="shared" si="4"/>
        <v>1</v>
      </c>
      <c r="J23" s="236">
        <f t="shared" si="5"/>
        <v>0</v>
      </c>
      <c r="K23" s="228">
        <f t="shared" si="0"/>
        <v>0</v>
      </c>
      <c r="L23" s="20"/>
    </row>
    <row r="24" spans="2:12" ht="30" customHeight="1" x14ac:dyDescent="0.25">
      <c r="B24" s="78" t="str">
        <f t="shared" si="3"/>
        <v>IGen</v>
      </c>
      <c r="C24" s="79">
        <f>IF(ISTEXT(D24),MAX($C$4:$C23)+1,"")</f>
        <v>21</v>
      </c>
      <c r="D24" s="80" t="s">
        <v>9</v>
      </c>
      <c r="E24" s="81" t="s">
        <v>85</v>
      </c>
      <c r="F24" s="229" t="s">
        <v>43</v>
      </c>
      <c r="G24" s="224"/>
      <c r="H24" s="231"/>
      <c r="I24" s="235">
        <f t="shared" si="4"/>
        <v>3</v>
      </c>
      <c r="J24" s="236">
        <f t="shared" si="5"/>
        <v>0</v>
      </c>
      <c r="K24" s="228">
        <f t="shared" si="0"/>
        <v>0</v>
      </c>
      <c r="L24" s="20"/>
    </row>
    <row r="25" spans="2:12" ht="30" customHeight="1" x14ac:dyDescent="0.25">
      <c r="B25" s="78" t="str">
        <f t="shared" si="3"/>
        <v>IGen</v>
      </c>
      <c r="C25" s="79">
        <f>IF(ISTEXT(D25),MAX($C$4:$C24)+1,"")</f>
        <v>22</v>
      </c>
      <c r="D25" s="80" t="s">
        <v>10</v>
      </c>
      <c r="E25" s="81" t="s">
        <v>86</v>
      </c>
      <c r="F25" s="230" t="s">
        <v>43</v>
      </c>
      <c r="G25" s="224"/>
      <c r="H25" s="231"/>
      <c r="I25" s="238">
        <f t="shared" si="4"/>
        <v>2</v>
      </c>
      <c r="J25" s="239">
        <f t="shared" si="5"/>
        <v>0</v>
      </c>
      <c r="K25" s="228">
        <f t="shared" si="0"/>
        <v>0</v>
      </c>
      <c r="L25" s="20"/>
    </row>
    <row r="26" spans="2:12" ht="30" customHeight="1" x14ac:dyDescent="0.25">
      <c r="B26" s="78" t="str">
        <f t="shared" si="3"/>
        <v>IGen</v>
      </c>
      <c r="C26" s="79">
        <f>IF(ISTEXT(D26),MAX($C$4:$C25)+1,"")</f>
        <v>23</v>
      </c>
      <c r="D26" s="80" t="s">
        <v>9</v>
      </c>
      <c r="E26" s="88" t="s">
        <v>531</v>
      </c>
      <c r="F26" s="229" t="s">
        <v>43</v>
      </c>
      <c r="G26" s="224"/>
      <c r="H26" s="231"/>
      <c r="I26" s="226">
        <f t="shared" ref="I26:I33" si="6">VLOOKUP($D26,SpecData,2,FALSE)</f>
        <v>3</v>
      </c>
      <c r="J26" s="227">
        <f t="shared" ref="J26:J33" si="7">VLOOKUP($F26,AvailabilityData,2,FALSE)</f>
        <v>0</v>
      </c>
      <c r="K26" s="228">
        <f t="shared" si="0"/>
        <v>0</v>
      </c>
      <c r="L26" s="20"/>
    </row>
    <row r="27" spans="2:12" ht="30" customHeight="1" x14ac:dyDescent="0.25">
      <c r="B27" s="78" t="str">
        <f t="shared" si="3"/>
        <v>IGen</v>
      </c>
      <c r="C27" s="79">
        <f>IF(ISTEXT(D27),MAX($C$4:$C26)+1,"")</f>
        <v>24</v>
      </c>
      <c r="D27" s="80" t="s">
        <v>9</v>
      </c>
      <c r="E27" s="88" t="s">
        <v>532</v>
      </c>
      <c r="F27" s="229" t="s">
        <v>43</v>
      </c>
      <c r="G27" s="224"/>
      <c r="H27" s="231"/>
      <c r="I27" s="235">
        <f t="shared" si="6"/>
        <v>3</v>
      </c>
      <c r="J27" s="236">
        <f t="shared" si="7"/>
        <v>0</v>
      </c>
      <c r="K27" s="228">
        <f t="shared" si="0"/>
        <v>0</v>
      </c>
      <c r="L27" s="20"/>
    </row>
    <row r="28" spans="2:12" ht="42.75" x14ac:dyDescent="0.25">
      <c r="B28" s="78" t="str">
        <f t="shared" si="3"/>
        <v>IGen</v>
      </c>
      <c r="C28" s="79">
        <f>IF(ISTEXT(D28),MAX($C$4:$C27)+1,"")</f>
        <v>25</v>
      </c>
      <c r="D28" s="80" t="s">
        <v>10</v>
      </c>
      <c r="E28" s="88" t="s">
        <v>87</v>
      </c>
      <c r="F28" s="229" t="s">
        <v>43</v>
      </c>
      <c r="G28" s="224"/>
      <c r="H28" s="231"/>
      <c r="I28" s="238">
        <f t="shared" si="6"/>
        <v>2</v>
      </c>
      <c r="J28" s="239">
        <f t="shared" si="7"/>
        <v>0</v>
      </c>
      <c r="K28" s="228">
        <f t="shared" si="0"/>
        <v>0</v>
      </c>
      <c r="L28" s="20"/>
    </row>
    <row r="29" spans="2:12" ht="30" customHeight="1" x14ac:dyDescent="0.25">
      <c r="B29" s="78" t="str">
        <f t="shared" si="3"/>
        <v>IGen</v>
      </c>
      <c r="C29" s="79">
        <f>IF(ISTEXT(D29),MAX($C$4:$C28)+1,"")</f>
        <v>26</v>
      </c>
      <c r="D29" s="80" t="s">
        <v>11</v>
      </c>
      <c r="E29" s="88" t="s">
        <v>88</v>
      </c>
      <c r="F29" s="229" t="s">
        <v>43</v>
      </c>
      <c r="G29" s="224"/>
      <c r="H29" s="231"/>
      <c r="I29" s="226">
        <f t="shared" si="6"/>
        <v>1</v>
      </c>
      <c r="J29" s="227">
        <f t="shared" si="7"/>
        <v>0</v>
      </c>
      <c r="K29" s="228">
        <f t="shared" si="0"/>
        <v>0</v>
      </c>
      <c r="L29" s="20"/>
    </row>
    <row r="30" spans="2:12" ht="35.25" customHeight="1" x14ac:dyDescent="0.25">
      <c r="B30" s="78" t="str">
        <f t="shared" si="3"/>
        <v>IGen</v>
      </c>
      <c r="C30" s="79">
        <f>IF(ISTEXT(D30),MAX($C$4:$C29)+1,"")</f>
        <v>27</v>
      </c>
      <c r="D30" s="80" t="s">
        <v>9</v>
      </c>
      <c r="E30" s="81" t="s">
        <v>716</v>
      </c>
      <c r="F30" s="229" t="s">
        <v>43</v>
      </c>
      <c r="G30" s="224"/>
      <c r="H30" s="231"/>
      <c r="I30" s="235">
        <f t="shared" si="6"/>
        <v>3</v>
      </c>
      <c r="J30" s="236">
        <f t="shared" si="7"/>
        <v>0</v>
      </c>
      <c r="K30" s="228">
        <f t="shared" si="0"/>
        <v>0</v>
      </c>
      <c r="L30" s="20"/>
    </row>
    <row r="31" spans="2:12" ht="30" customHeight="1" x14ac:dyDescent="0.25">
      <c r="B31" s="78" t="str">
        <f t="shared" si="3"/>
        <v>IGen</v>
      </c>
      <c r="C31" s="79">
        <f>IF(ISTEXT(D31),MAX($C$4:$C30)+1,"")</f>
        <v>28</v>
      </c>
      <c r="D31" s="80" t="s">
        <v>9</v>
      </c>
      <c r="E31" s="88" t="s">
        <v>89</v>
      </c>
      <c r="F31" s="229" t="s">
        <v>43</v>
      </c>
      <c r="G31" s="224"/>
      <c r="H31" s="231"/>
      <c r="I31" s="235">
        <f t="shared" si="6"/>
        <v>3</v>
      </c>
      <c r="J31" s="236">
        <f t="shared" si="7"/>
        <v>0</v>
      </c>
      <c r="K31" s="228">
        <f t="shared" si="0"/>
        <v>0</v>
      </c>
      <c r="L31" s="20"/>
    </row>
    <row r="32" spans="2:12" ht="36" customHeight="1" x14ac:dyDescent="0.25">
      <c r="B32" s="78" t="str">
        <f t="shared" si="3"/>
        <v>IGen</v>
      </c>
      <c r="C32" s="79">
        <f>IF(ISTEXT(D32),MAX($C$4:$C31)+1,"")</f>
        <v>29</v>
      </c>
      <c r="D32" s="80" t="s">
        <v>9</v>
      </c>
      <c r="E32" s="88" t="s">
        <v>90</v>
      </c>
      <c r="F32" s="229" t="s">
        <v>43</v>
      </c>
      <c r="G32" s="224"/>
      <c r="H32" s="231"/>
      <c r="I32" s="235">
        <f t="shared" si="6"/>
        <v>3</v>
      </c>
      <c r="J32" s="236">
        <f t="shared" si="7"/>
        <v>0</v>
      </c>
      <c r="K32" s="228">
        <f t="shared" si="0"/>
        <v>0</v>
      </c>
      <c r="L32" s="20"/>
    </row>
    <row r="33" spans="2:12" ht="42.75" x14ac:dyDescent="0.25">
      <c r="B33" s="78" t="str">
        <f t="shared" si="3"/>
        <v>IGen</v>
      </c>
      <c r="C33" s="79">
        <f>IF(ISTEXT(D33),MAX($C$4:$C32)+1,"")</f>
        <v>30</v>
      </c>
      <c r="D33" s="80" t="s">
        <v>41</v>
      </c>
      <c r="E33" s="81" t="s">
        <v>91</v>
      </c>
      <c r="F33" s="86" t="s">
        <v>43</v>
      </c>
      <c r="G33" s="62"/>
      <c r="H33" s="87"/>
      <c r="I33" s="91">
        <f t="shared" si="6"/>
        <v>0</v>
      </c>
      <c r="J33" s="92">
        <f t="shared" si="7"/>
        <v>0</v>
      </c>
      <c r="K33" s="84">
        <f t="shared" si="0"/>
        <v>0</v>
      </c>
      <c r="L33" s="85"/>
    </row>
    <row r="34" spans="2:12" ht="30" customHeight="1" x14ac:dyDescent="0.25">
      <c r="B34" s="78" t="str">
        <f t="shared" si="3"/>
        <v>IGen</v>
      </c>
      <c r="C34" s="79">
        <f>IF(ISTEXT(D34),MAX($C$4:$C33)+1,"")</f>
        <v>31</v>
      </c>
      <c r="D34" s="80" t="s">
        <v>10</v>
      </c>
      <c r="E34" s="81" t="s">
        <v>533</v>
      </c>
      <c r="F34" s="229" t="s">
        <v>43</v>
      </c>
      <c r="G34" s="224"/>
      <c r="H34" s="231"/>
      <c r="I34" s="235">
        <f t="shared" ref="I34:I39" si="8">VLOOKUP($D34,SpecData,2,FALSE)</f>
        <v>2</v>
      </c>
      <c r="J34" s="236">
        <f t="shared" ref="J34:J39" si="9">VLOOKUP($F34,AvailabilityData,2,FALSE)</f>
        <v>0</v>
      </c>
      <c r="K34" s="228">
        <f t="shared" si="0"/>
        <v>0</v>
      </c>
      <c r="L34" s="20"/>
    </row>
    <row r="35" spans="2:12" ht="30" customHeight="1" x14ac:dyDescent="0.25">
      <c r="B35" s="78" t="str">
        <f t="shared" si="3"/>
        <v>IGen</v>
      </c>
      <c r="C35" s="79">
        <f>IF(ISTEXT(D35),MAX($C$4:$C34)+1,"")</f>
        <v>32</v>
      </c>
      <c r="D35" s="80" t="s">
        <v>11</v>
      </c>
      <c r="E35" s="81" t="s">
        <v>92</v>
      </c>
      <c r="F35" s="230" t="s">
        <v>43</v>
      </c>
      <c r="G35" s="224"/>
      <c r="H35" s="231"/>
      <c r="I35" s="235">
        <f t="shared" si="8"/>
        <v>1</v>
      </c>
      <c r="J35" s="236">
        <f t="shared" si="9"/>
        <v>0</v>
      </c>
      <c r="K35" s="228">
        <f t="shared" si="0"/>
        <v>0</v>
      </c>
      <c r="L35" s="20"/>
    </row>
    <row r="36" spans="2:12" ht="30" customHeight="1" x14ac:dyDescent="0.25">
      <c r="B36" s="78" t="str">
        <f t="shared" si="3"/>
        <v>IGen</v>
      </c>
      <c r="C36" s="79">
        <f>IF(ISTEXT(D36),MAX($C$4:$C35)+1,"")</f>
        <v>33</v>
      </c>
      <c r="D36" s="80" t="s">
        <v>10</v>
      </c>
      <c r="E36" s="81" t="s">
        <v>93</v>
      </c>
      <c r="F36" s="229" t="s">
        <v>43</v>
      </c>
      <c r="G36" s="224"/>
      <c r="H36" s="231"/>
      <c r="I36" s="235">
        <f t="shared" si="8"/>
        <v>2</v>
      </c>
      <c r="J36" s="236">
        <f t="shared" si="9"/>
        <v>0</v>
      </c>
      <c r="K36" s="228">
        <f t="shared" si="0"/>
        <v>0</v>
      </c>
      <c r="L36" s="20"/>
    </row>
    <row r="37" spans="2:12" ht="30" customHeight="1" x14ac:dyDescent="0.25">
      <c r="B37" s="78" t="str">
        <f t="shared" si="3"/>
        <v>IGen</v>
      </c>
      <c r="C37" s="79">
        <f>IF(ISTEXT(D37),MAX($C$4:$C36)+1,"")</f>
        <v>34</v>
      </c>
      <c r="D37" s="80" t="s">
        <v>11</v>
      </c>
      <c r="E37" s="81" t="s">
        <v>94</v>
      </c>
      <c r="F37" s="229" t="s">
        <v>43</v>
      </c>
      <c r="G37" s="224"/>
      <c r="H37" s="231"/>
      <c r="I37" s="235">
        <f t="shared" si="8"/>
        <v>1</v>
      </c>
      <c r="J37" s="236">
        <f t="shared" si="9"/>
        <v>0</v>
      </c>
      <c r="K37" s="228">
        <f t="shared" si="0"/>
        <v>0</v>
      </c>
      <c r="L37" s="20"/>
    </row>
    <row r="38" spans="2:12" ht="30" customHeight="1" x14ac:dyDescent="0.25">
      <c r="B38" s="78" t="str">
        <f t="shared" si="3"/>
        <v>IGen</v>
      </c>
      <c r="C38" s="79">
        <f>IF(ISTEXT(D38),MAX($C$4:$C37)+1,"")</f>
        <v>35</v>
      </c>
      <c r="D38" s="80" t="s">
        <v>11</v>
      </c>
      <c r="E38" s="81" t="s">
        <v>95</v>
      </c>
      <c r="F38" s="229" t="s">
        <v>43</v>
      </c>
      <c r="G38" s="224"/>
      <c r="H38" s="231"/>
      <c r="I38" s="235">
        <f t="shared" si="8"/>
        <v>1</v>
      </c>
      <c r="J38" s="236">
        <f t="shared" si="9"/>
        <v>0</v>
      </c>
      <c r="K38" s="228">
        <f t="shared" si="0"/>
        <v>0</v>
      </c>
      <c r="L38" s="20"/>
    </row>
    <row r="39" spans="2:12" ht="51.75" customHeight="1" x14ac:dyDescent="0.25">
      <c r="B39" s="78" t="str">
        <f t="shared" si="3"/>
        <v>IGen</v>
      </c>
      <c r="C39" s="79">
        <f>IF(ISTEXT(D39),MAX($C$4:$C38)+1,"")</f>
        <v>36</v>
      </c>
      <c r="D39" s="80" t="s">
        <v>11</v>
      </c>
      <c r="E39" s="81" t="s">
        <v>96</v>
      </c>
      <c r="F39" s="229" t="s">
        <v>43</v>
      </c>
      <c r="G39" s="224"/>
      <c r="H39" s="231"/>
      <c r="I39" s="235">
        <f t="shared" si="8"/>
        <v>1</v>
      </c>
      <c r="J39" s="236">
        <f t="shared" si="9"/>
        <v>0</v>
      </c>
      <c r="K39" s="228">
        <f t="shared" si="0"/>
        <v>0</v>
      </c>
      <c r="L39" s="20"/>
    </row>
    <row r="40" spans="2:12" ht="30" customHeight="1" x14ac:dyDescent="0.25">
      <c r="B40" s="78" t="str">
        <f t="shared" si="3"/>
        <v>IGen</v>
      </c>
      <c r="C40" s="79">
        <f>IF(ISTEXT(D40),MAX($C$4:$C39)+1,"")</f>
        <v>37</v>
      </c>
      <c r="D40" s="80" t="s">
        <v>11</v>
      </c>
      <c r="E40" s="89" t="s">
        <v>97</v>
      </c>
      <c r="F40" s="229" t="s">
        <v>43</v>
      </c>
      <c r="G40" s="224"/>
      <c r="H40" s="231"/>
      <c r="I40" s="235">
        <f t="shared" ref="I40:I45" si="10">VLOOKUP($D40,SpecData,2,FALSE)</f>
        <v>1</v>
      </c>
      <c r="J40" s="236">
        <f t="shared" ref="J40:J45" si="11">VLOOKUP($F40,AvailabilityData,2,FALSE)</f>
        <v>0</v>
      </c>
      <c r="K40" s="228">
        <f t="shared" si="0"/>
        <v>0</v>
      </c>
      <c r="L40" s="20"/>
    </row>
    <row r="41" spans="2:12" ht="43.5" customHeight="1" x14ac:dyDescent="0.25">
      <c r="B41" s="78" t="str">
        <f t="shared" si="3"/>
        <v>IGen</v>
      </c>
      <c r="C41" s="79">
        <f>IF(ISTEXT(D41),MAX($C$4:$C40)+1,"")</f>
        <v>38</v>
      </c>
      <c r="D41" s="80" t="s">
        <v>10</v>
      </c>
      <c r="E41" s="89" t="s">
        <v>98</v>
      </c>
      <c r="F41" s="223" t="s">
        <v>43</v>
      </c>
      <c r="G41" s="224"/>
      <c r="H41" s="231"/>
      <c r="I41" s="235">
        <f t="shared" si="10"/>
        <v>2</v>
      </c>
      <c r="J41" s="236">
        <f t="shared" si="11"/>
        <v>0</v>
      </c>
      <c r="K41" s="228">
        <f t="shared" si="0"/>
        <v>0</v>
      </c>
      <c r="L41" s="20"/>
    </row>
    <row r="42" spans="2:12" ht="43.5" customHeight="1" x14ac:dyDescent="0.25">
      <c r="B42" s="78" t="str">
        <f t="shared" si="3"/>
        <v>IGen</v>
      </c>
      <c r="C42" s="79">
        <f>IF(ISTEXT(D42),MAX($C$4:$C41)+1,"")</f>
        <v>39</v>
      </c>
      <c r="D42" s="80" t="s">
        <v>10</v>
      </c>
      <c r="E42" s="93" t="s">
        <v>717</v>
      </c>
      <c r="F42" s="237" t="s">
        <v>43</v>
      </c>
      <c r="G42" s="224"/>
      <c r="H42" s="231"/>
      <c r="I42" s="235">
        <f>VLOOKUP($D42,SpecData,2,FALSE)</f>
        <v>2</v>
      </c>
      <c r="J42" s="236">
        <f>VLOOKUP($F42,AvailabilityData,2,FALSE)</f>
        <v>0</v>
      </c>
      <c r="K42" s="228">
        <f>I42*J42</f>
        <v>0</v>
      </c>
      <c r="L42" s="20"/>
    </row>
    <row r="43" spans="2:12" ht="30" customHeight="1" x14ac:dyDescent="0.25">
      <c r="B43" s="78" t="str">
        <f t="shared" si="3"/>
        <v>IGen</v>
      </c>
      <c r="C43" s="79">
        <f>IF(ISTEXT(D43),MAX($C$4:$C42)+1,"")</f>
        <v>40</v>
      </c>
      <c r="D43" s="80" t="s">
        <v>11</v>
      </c>
      <c r="E43" s="88" t="s">
        <v>99</v>
      </c>
      <c r="F43" s="229" t="s">
        <v>43</v>
      </c>
      <c r="G43" s="224"/>
      <c r="H43" s="231"/>
      <c r="I43" s="235">
        <f t="shared" si="10"/>
        <v>1</v>
      </c>
      <c r="J43" s="236">
        <f t="shared" si="11"/>
        <v>0</v>
      </c>
      <c r="K43" s="228">
        <f t="shared" si="0"/>
        <v>0</v>
      </c>
      <c r="L43" s="20"/>
    </row>
    <row r="44" spans="2:12" ht="30" customHeight="1" x14ac:dyDescent="0.25">
      <c r="B44" s="78" t="str">
        <f t="shared" si="3"/>
        <v>IGen</v>
      </c>
      <c r="C44" s="79">
        <f>IF(ISTEXT(D44),MAX($C$4:$C43)+1,"")</f>
        <v>41</v>
      </c>
      <c r="D44" s="80" t="s">
        <v>10</v>
      </c>
      <c r="E44" s="88" t="s">
        <v>100</v>
      </c>
      <c r="F44" s="240" t="s">
        <v>43</v>
      </c>
      <c r="G44" s="241"/>
      <c r="H44" s="242"/>
      <c r="I44" s="235">
        <f t="shared" si="10"/>
        <v>2</v>
      </c>
      <c r="J44" s="236">
        <f t="shared" si="11"/>
        <v>0</v>
      </c>
      <c r="K44" s="228">
        <f t="shared" si="0"/>
        <v>0</v>
      </c>
      <c r="L44" s="243"/>
    </row>
    <row r="45" spans="2:12" ht="57" x14ac:dyDescent="0.25">
      <c r="B45" s="78" t="str">
        <f t="shared" si="3"/>
        <v>IGen</v>
      </c>
      <c r="C45" s="79">
        <f>IF(ISTEXT(D45),MAX($C$4:$C44)+1,"")</f>
        <v>42</v>
      </c>
      <c r="D45" s="80" t="s">
        <v>9</v>
      </c>
      <c r="E45" s="94" t="s">
        <v>311</v>
      </c>
      <c r="F45" s="230" t="s">
        <v>43</v>
      </c>
      <c r="G45" s="241"/>
      <c r="H45" s="242"/>
      <c r="I45" s="235">
        <f t="shared" si="10"/>
        <v>3</v>
      </c>
      <c r="J45" s="236">
        <f t="shared" si="11"/>
        <v>0</v>
      </c>
      <c r="K45" s="228">
        <f t="shared" si="0"/>
        <v>0</v>
      </c>
      <c r="L45" s="21"/>
    </row>
    <row r="46" spans="2:12" ht="7.5" customHeight="1" x14ac:dyDescent="0.25"/>
  </sheetData>
  <sheetProtection algorithmName="SHA-512" hashValue="NLA7QYR3cdUG5Y2w0RfMjQqAEyMcF+sSF+5yWUERF67ElrF4ZolRwWWFSxSDbxQs1ko03Zr8BmSKF9c6U6isyg==" saltValue="lnzbhdkOYxreHcQFjMeTrQ==" spinCount="100000" sheet="1" selectLockedCells="1"/>
  <conditionalFormatting sqref="D4:D45">
    <cfRule type="cellIs" dxfId="209" priority="7" operator="equal">
      <formula>"Important"</formula>
    </cfRule>
    <cfRule type="cellIs" dxfId="208" priority="8" operator="equal">
      <formula>"Crucial"</formula>
    </cfRule>
    <cfRule type="cellIs" dxfId="207" priority="9" operator="equal">
      <formula>"N/A"</formula>
    </cfRule>
  </conditionalFormatting>
  <conditionalFormatting sqref="F4:F45">
    <cfRule type="cellIs" dxfId="206" priority="1" operator="equal">
      <formula>"Function Not Available"</formula>
    </cfRule>
    <cfRule type="cellIs" dxfId="205" priority="2" operator="equal">
      <formula>"Function Available"</formula>
    </cfRule>
    <cfRule type="cellIs" dxfId="204" priority="3" operator="equal">
      <formula>"Exception"</formula>
    </cfRule>
  </conditionalFormatting>
  <dataValidations count="3">
    <dataValidation type="list" allowBlank="1" showInputMessage="1" showErrorMessage="1" errorTitle="Invalid specification type" error="Please enter a Specification type from the drop-down list." sqref="F6:F45" xr:uid="{00000000-0002-0000-0200-000000000000}">
      <formula1>AvailabilityType</formula1>
    </dataValidation>
    <dataValidation type="list" allowBlank="1" showInputMessage="1" showErrorMessage="1" sqref="D4:D45" xr:uid="{00000000-0002-0000-0200-000001000000}">
      <formula1>SpecType</formula1>
    </dataValidation>
    <dataValidation type="list" allowBlank="1" showInputMessage="1" showErrorMessage="1" sqref="F4:F5" xr:uid="{00000000-0002-0000-0200-000002000000}">
      <formula1>AvailabilityType</formula1>
    </dataValidation>
  </dataValidations>
  <pageMargins left="0.7" right="0.7" top="0.75" bottom="0.75" header="0.3" footer="0.3"/>
  <pageSetup scale="47" fitToHeight="0" orientation="portrait" r:id="rId1"/>
  <headerFooter>
    <oddHeader>&amp;CGCCDA
&amp;F&amp;R&amp;A</oddHeader>
    <oddFooter>&amp;LTSSI Consulting LLC, March 2026&amp;CPage &amp;P of &amp;N</oddFooter>
  </headerFooter>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rgb="FFFFCC00"/>
    <pageSetUpPr fitToPage="1"/>
  </sheetPr>
  <dimension ref="A1:M72"/>
  <sheetViews>
    <sheetView showGridLines="0" zoomScale="80" zoomScaleNormal="80" zoomScalePageLayoutView="40" workbookViewId="0">
      <selection activeCell="F4" sqref="F4"/>
    </sheetView>
  </sheetViews>
  <sheetFormatPr defaultColWidth="0" defaultRowHeight="15" zeroHeight="1" x14ac:dyDescent="0.25"/>
  <cols>
    <col min="1" max="1" width="0.7109375" customWidth="1"/>
    <col min="2" max="2" width="11.7109375" customWidth="1"/>
    <col min="3" max="3" width="11.42578125" customWidth="1"/>
    <col min="4" max="4" width="23.28515625" customWidth="1"/>
    <col min="5" max="5" width="70.28515625" style="63" customWidth="1"/>
    <col min="6" max="6" width="28.7109375" customWidth="1"/>
    <col min="7" max="7" width="15.42578125" style="64" hidden="1" customWidth="1"/>
    <col min="8" max="11" width="12.7109375" hidden="1" customWidth="1"/>
    <col min="12" max="12" width="49.42578125" customWidth="1"/>
    <col min="13" max="13" width="2" customWidth="1"/>
    <col min="14" max="16384" width="9.28515625" hidden="1"/>
  </cols>
  <sheetData>
    <row r="1" spans="2:12" ht="5.65" customHeight="1" x14ac:dyDescent="0.25"/>
    <row r="2" spans="2:12" s="71" customFormat="1" ht="129" customHeight="1" thickBot="1" x14ac:dyDescent="0.25">
      <c r="B2" s="65" t="s">
        <v>44</v>
      </c>
      <c r="C2" s="66" t="s">
        <v>45</v>
      </c>
      <c r="D2" s="66" t="s">
        <v>46</v>
      </c>
      <c r="E2" s="66" t="s">
        <v>112</v>
      </c>
      <c r="F2" s="66" t="s">
        <v>42</v>
      </c>
      <c r="G2" s="67" t="s">
        <v>48</v>
      </c>
      <c r="H2" s="67" t="s">
        <v>49</v>
      </c>
      <c r="I2" s="68" t="s">
        <v>50</v>
      </c>
      <c r="J2" s="68" t="s">
        <v>51</v>
      </c>
      <c r="K2" s="69" t="s">
        <v>14</v>
      </c>
      <c r="L2" s="70" t="s">
        <v>52</v>
      </c>
    </row>
    <row r="3" spans="2:12" ht="15.6" customHeight="1" thickBot="1" x14ac:dyDescent="0.3">
      <c r="B3" s="72" t="s">
        <v>113</v>
      </c>
      <c r="C3" s="72"/>
      <c r="D3" s="72"/>
      <c r="E3" s="72"/>
      <c r="F3" s="72"/>
      <c r="G3" s="73" t="s">
        <v>54</v>
      </c>
      <c r="H3" s="74">
        <f>COUNTA(D4:D530)</f>
        <v>46</v>
      </c>
      <c r="I3" s="75"/>
      <c r="J3" s="76" t="s">
        <v>55</v>
      </c>
      <c r="K3" s="77">
        <f>SUM(K4:K530)</f>
        <v>0</v>
      </c>
      <c r="L3" s="72"/>
    </row>
    <row r="4" spans="2:12" ht="30" customHeight="1" x14ac:dyDescent="0.25">
      <c r="B4" s="78" t="s">
        <v>114</v>
      </c>
      <c r="C4" s="79">
        <v>1</v>
      </c>
      <c r="D4" s="80" t="s">
        <v>10</v>
      </c>
      <c r="E4" s="89" t="s">
        <v>644</v>
      </c>
      <c r="F4" s="223" t="s">
        <v>43</v>
      </c>
      <c r="G4" s="224" t="s">
        <v>57</v>
      </c>
      <c r="H4" s="225">
        <f>COUNTIF(F4:F530,"Select from Drop Down")</f>
        <v>46</v>
      </c>
      <c r="I4" s="226">
        <f>VLOOKUP($D4,SpecData,2,FALSE)</f>
        <v>2</v>
      </c>
      <c r="J4" s="227">
        <f>VLOOKUP($F4,AvailabilityData,2,FALSE)</f>
        <v>0</v>
      </c>
      <c r="K4" s="228">
        <f>I4*J4</f>
        <v>0</v>
      </c>
      <c r="L4" s="20"/>
    </row>
    <row r="5" spans="2:12" ht="30" customHeight="1" x14ac:dyDescent="0.25">
      <c r="B5" s="124"/>
      <c r="C5" s="125" t="str">
        <f>IF(ISTEXT(D5),MAX($C4:$C$7)+1,"")</f>
        <v/>
      </c>
      <c r="D5" s="126"/>
      <c r="E5" s="127" t="s">
        <v>115</v>
      </c>
      <c r="F5" s="128"/>
      <c r="G5" s="129"/>
      <c r="H5" s="129"/>
      <c r="I5" s="129"/>
      <c r="J5" s="129"/>
      <c r="K5" s="129"/>
      <c r="L5" s="129"/>
    </row>
    <row r="6" spans="2:12" ht="30" customHeight="1" x14ac:dyDescent="0.25">
      <c r="B6" s="78" t="str">
        <f>IF(C6="","",$B$4)</f>
        <v>ITone</v>
      </c>
      <c r="C6" s="79">
        <v>2</v>
      </c>
      <c r="D6" s="80" t="s">
        <v>10</v>
      </c>
      <c r="E6" s="130" t="s">
        <v>116</v>
      </c>
      <c r="F6" s="223" t="s">
        <v>43</v>
      </c>
      <c r="G6" s="224" t="s">
        <v>59</v>
      </c>
      <c r="H6" s="225">
        <f>COUNTIF(F4:F530,"Function Available")</f>
        <v>0</v>
      </c>
      <c r="I6" s="226">
        <f>VLOOKUP($D6,SpecData,2,FALSE)</f>
        <v>2</v>
      </c>
      <c r="J6" s="227">
        <f>VLOOKUP($F6,AvailabilityData,2,FALSE)</f>
        <v>0</v>
      </c>
      <c r="K6" s="228">
        <f>I6*J6</f>
        <v>0</v>
      </c>
      <c r="L6" s="20"/>
    </row>
    <row r="7" spans="2:12" ht="30" customHeight="1" x14ac:dyDescent="0.25">
      <c r="B7" s="78" t="str">
        <f t="shared" ref="B7:B52" si="0">IF(C7="","",$B$4)</f>
        <v>ITone</v>
      </c>
      <c r="C7" s="79">
        <f>IF(ISTEXT(D7),MAX($C$6:$C6)+1,"")</f>
        <v>3</v>
      </c>
      <c r="D7" s="80" t="s">
        <v>10</v>
      </c>
      <c r="E7" s="131" t="s">
        <v>117</v>
      </c>
      <c r="F7" s="223" t="s">
        <v>43</v>
      </c>
      <c r="G7" s="224" t="s">
        <v>61</v>
      </c>
      <c r="H7" s="231">
        <f>COUNTIF(F4:F530,"Function Not Available")</f>
        <v>0</v>
      </c>
      <c r="I7" s="226">
        <f t="shared" ref="I7:I14" si="1">VLOOKUP($D7,SpecData,2,FALSE)</f>
        <v>2</v>
      </c>
      <c r="J7" s="227">
        <f t="shared" ref="J7:J14" si="2">VLOOKUP($F7,AvailabilityData,2,FALSE)</f>
        <v>0</v>
      </c>
      <c r="K7" s="250">
        <f t="shared" ref="K7:K14" si="3">I7*J7</f>
        <v>0</v>
      </c>
      <c r="L7" s="20"/>
    </row>
    <row r="8" spans="2:12" ht="30" customHeight="1" x14ac:dyDescent="0.25">
      <c r="B8" s="78" t="str">
        <f t="shared" si="0"/>
        <v>ITone</v>
      </c>
      <c r="C8" s="79">
        <f>IF(ISTEXT(D8),MAX($C$6:$C7)+1,"")</f>
        <v>4</v>
      </c>
      <c r="D8" s="80" t="s">
        <v>11</v>
      </c>
      <c r="E8" s="131" t="s">
        <v>118</v>
      </c>
      <c r="F8" s="223" t="s">
        <v>43</v>
      </c>
      <c r="G8" s="224" t="s">
        <v>63</v>
      </c>
      <c r="H8" s="231">
        <f>COUNTIF(F4:F530,"Exception")</f>
        <v>0</v>
      </c>
      <c r="I8" s="226">
        <f t="shared" si="1"/>
        <v>1</v>
      </c>
      <c r="J8" s="227">
        <f t="shared" si="2"/>
        <v>0</v>
      </c>
      <c r="K8" s="228">
        <f t="shared" si="3"/>
        <v>0</v>
      </c>
      <c r="L8" s="20"/>
    </row>
    <row r="9" spans="2:12" ht="30" customHeight="1" x14ac:dyDescent="0.25">
      <c r="B9" s="78" t="str">
        <f t="shared" si="0"/>
        <v>ITone</v>
      </c>
      <c r="C9" s="79">
        <f>IF(ISTEXT(D9),MAX($C$6:$C8)+1,"")</f>
        <v>5</v>
      </c>
      <c r="D9" s="80" t="s">
        <v>10</v>
      </c>
      <c r="E9" s="131" t="s">
        <v>119</v>
      </c>
      <c r="F9" s="223" t="s">
        <v>43</v>
      </c>
      <c r="G9" s="224" t="s">
        <v>65</v>
      </c>
      <c r="H9" s="232">
        <f>COUNTIFS(D:D,"=Crucial",F:F,"=Select From Drop Down")</f>
        <v>0</v>
      </c>
      <c r="I9" s="226">
        <f t="shared" si="1"/>
        <v>2</v>
      </c>
      <c r="J9" s="227">
        <f t="shared" si="2"/>
        <v>0</v>
      </c>
      <c r="K9" s="250">
        <f t="shared" si="3"/>
        <v>0</v>
      </c>
      <c r="L9" s="20"/>
    </row>
    <row r="10" spans="2:12" ht="42" customHeight="1" x14ac:dyDescent="0.25">
      <c r="B10" s="78" t="str">
        <f t="shared" si="0"/>
        <v>ITone</v>
      </c>
      <c r="C10" s="79">
        <f>IF(ISTEXT(D10),MAX($C$6:$C9)+1,"")</f>
        <v>6</v>
      </c>
      <c r="D10" s="80" t="s">
        <v>10</v>
      </c>
      <c r="E10" s="89" t="s">
        <v>120</v>
      </c>
      <c r="F10" s="223" t="s">
        <v>43</v>
      </c>
      <c r="G10" s="224" t="s">
        <v>67</v>
      </c>
      <c r="H10" s="232">
        <f>COUNTIFS(D:D,"=Crucial",F:F,"=Function Available")</f>
        <v>0</v>
      </c>
      <c r="I10" s="226">
        <f t="shared" si="1"/>
        <v>2</v>
      </c>
      <c r="J10" s="227">
        <f t="shared" si="2"/>
        <v>0</v>
      </c>
      <c r="K10" s="250">
        <f t="shared" si="3"/>
        <v>0</v>
      </c>
      <c r="L10" s="20"/>
    </row>
    <row r="11" spans="2:12" ht="30" customHeight="1" x14ac:dyDescent="0.25">
      <c r="B11" s="78" t="str">
        <f t="shared" si="0"/>
        <v>ITone</v>
      </c>
      <c r="C11" s="79">
        <f>IF(ISTEXT(D11),MAX($C$6:$C10)+1,"")</f>
        <v>7</v>
      </c>
      <c r="D11" s="80" t="s">
        <v>10</v>
      </c>
      <c r="E11" s="89" t="s">
        <v>121</v>
      </c>
      <c r="F11" s="223" t="s">
        <v>43</v>
      </c>
      <c r="G11" s="224" t="s">
        <v>69</v>
      </c>
      <c r="H11" s="232">
        <f>COUNTIFS(D:D,"=Crucial",F:F,"=Function Not Available")</f>
        <v>0</v>
      </c>
      <c r="I11" s="226">
        <f t="shared" si="1"/>
        <v>2</v>
      </c>
      <c r="J11" s="227">
        <f t="shared" si="2"/>
        <v>0</v>
      </c>
      <c r="K11" s="250">
        <f t="shared" si="3"/>
        <v>0</v>
      </c>
      <c r="L11" s="20"/>
    </row>
    <row r="12" spans="2:12" ht="47.25" customHeight="1" x14ac:dyDescent="0.25">
      <c r="B12" s="78" t="str">
        <f t="shared" si="0"/>
        <v>ITone</v>
      </c>
      <c r="C12" s="79">
        <f>IF(ISTEXT(D12),MAX($C$6:$C11)+1,"")</f>
        <v>8</v>
      </c>
      <c r="D12" s="80" t="s">
        <v>11</v>
      </c>
      <c r="E12" s="89" t="s">
        <v>122</v>
      </c>
      <c r="F12" s="223" t="s">
        <v>43</v>
      </c>
      <c r="G12" s="241" t="s">
        <v>70</v>
      </c>
      <c r="H12" s="251">
        <f>COUNTIFS(D:D,"=Crucial",F:F,"=Exception")</f>
        <v>0</v>
      </c>
      <c r="I12" s="252">
        <f t="shared" si="1"/>
        <v>1</v>
      </c>
      <c r="J12" s="253">
        <f t="shared" si="2"/>
        <v>0</v>
      </c>
      <c r="K12" s="254">
        <f t="shared" si="3"/>
        <v>0</v>
      </c>
      <c r="L12" s="22"/>
    </row>
    <row r="13" spans="2:12" ht="41.25" customHeight="1" x14ac:dyDescent="0.25">
      <c r="B13" s="78" t="str">
        <f t="shared" si="0"/>
        <v>ITone</v>
      </c>
      <c r="C13" s="79">
        <f>IF(ISTEXT(D13),MAX($C$6:$C12)+1,"")</f>
        <v>9</v>
      </c>
      <c r="D13" s="80" t="s">
        <v>11</v>
      </c>
      <c r="E13" s="89" t="s">
        <v>123</v>
      </c>
      <c r="F13" s="223" t="s">
        <v>43</v>
      </c>
      <c r="G13" s="224" t="s">
        <v>72</v>
      </c>
      <c r="H13" s="232">
        <f>COUNTIFS(D:D,"=Important",F:F,"=Select From Drop Down")</f>
        <v>12</v>
      </c>
      <c r="I13" s="235">
        <f t="shared" si="1"/>
        <v>1</v>
      </c>
      <c r="J13" s="236">
        <f t="shared" si="2"/>
        <v>0</v>
      </c>
      <c r="K13" s="250">
        <f t="shared" si="3"/>
        <v>0</v>
      </c>
      <c r="L13" s="23"/>
    </row>
    <row r="14" spans="2:12" ht="42" customHeight="1" x14ac:dyDescent="0.25">
      <c r="B14" s="78" t="str">
        <f t="shared" si="0"/>
        <v>ITone</v>
      </c>
      <c r="C14" s="79">
        <f>IF(ISTEXT(D14),MAX($C$6:$C13)+1,"")</f>
        <v>10</v>
      </c>
      <c r="D14" s="80" t="s">
        <v>10</v>
      </c>
      <c r="E14" s="89" t="s">
        <v>124</v>
      </c>
      <c r="F14" s="223" t="s">
        <v>43</v>
      </c>
      <c r="G14" s="224" t="s">
        <v>74</v>
      </c>
      <c r="H14" s="232">
        <f>COUNTIFS(D:D,"=Important",F:F,"=Function Available")</f>
        <v>0</v>
      </c>
      <c r="I14" s="235">
        <f t="shared" si="1"/>
        <v>2</v>
      </c>
      <c r="J14" s="236">
        <f t="shared" si="2"/>
        <v>0</v>
      </c>
      <c r="K14" s="250">
        <f t="shared" si="3"/>
        <v>0</v>
      </c>
      <c r="L14" s="24"/>
    </row>
    <row r="15" spans="2:12" ht="30" customHeight="1" x14ac:dyDescent="0.25">
      <c r="B15" s="78" t="str">
        <f t="shared" si="0"/>
        <v>ITone</v>
      </c>
      <c r="C15" s="79">
        <f>IF(ISTEXT(D15),MAX($C$6:$C14)+1,"")</f>
        <v>11</v>
      </c>
      <c r="D15" s="80" t="s">
        <v>10</v>
      </c>
      <c r="E15" s="89" t="s">
        <v>125</v>
      </c>
      <c r="F15" s="223" t="s">
        <v>43</v>
      </c>
      <c r="G15" s="224" t="s">
        <v>76</v>
      </c>
      <c r="H15" s="234">
        <f>COUNTIFS(D:D,"=Important",F:F,"=Function Not Available")</f>
        <v>0</v>
      </c>
      <c r="I15" s="226">
        <f t="shared" ref="I15:I52" si="4">VLOOKUP($D15,SpecData,2,FALSE)</f>
        <v>2</v>
      </c>
      <c r="J15" s="227">
        <f t="shared" ref="J15:J52" si="5">VLOOKUP($F15,AvailabilityData,2,FALSE)</f>
        <v>0</v>
      </c>
      <c r="K15" s="228">
        <f t="shared" ref="K15:K52" si="6">I15*J15</f>
        <v>0</v>
      </c>
      <c r="L15" s="25"/>
    </row>
    <row r="16" spans="2:12" ht="30" customHeight="1" x14ac:dyDescent="0.25">
      <c r="B16" s="78" t="str">
        <f t="shared" si="0"/>
        <v>ITone</v>
      </c>
      <c r="C16" s="79">
        <f>IF(ISTEXT(D16),MAX($C$6:$C15)+1,"")</f>
        <v>12</v>
      </c>
      <c r="D16" s="80" t="s">
        <v>11</v>
      </c>
      <c r="E16" s="88" t="s">
        <v>126</v>
      </c>
      <c r="F16" s="223" t="s">
        <v>43</v>
      </c>
      <c r="G16" s="224" t="s">
        <v>77</v>
      </c>
      <c r="H16" s="232">
        <f>COUNTIFS(D:D,"=Important",F:F,"=Exception")</f>
        <v>0</v>
      </c>
      <c r="I16" s="235">
        <f t="shared" si="4"/>
        <v>1</v>
      </c>
      <c r="J16" s="236">
        <f t="shared" si="5"/>
        <v>0</v>
      </c>
      <c r="K16" s="250">
        <f t="shared" si="6"/>
        <v>0</v>
      </c>
      <c r="L16" s="20"/>
    </row>
    <row r="17" spans="2:12" ht="55.9" customHeight="1" x14ac:dyDescent="0.25">
      <c r="B17" s="78" t="str">
        <f t="shared" si="0"/>
        <v>ITone</v>
      </c>
      <c r="C17" s="79">
        <f>IF(ISTEXT(D17),MAX($C$6:$C16)+1,"")</f>
        <v>13</v>
      </c>
      <c r="D17" s="80" t="s">
        <v>10</v>
      </c>
      <c r="E17" s="88" t="s">
        <v>127</v>
      </c>
      <c r="F17" s="223" t="s">
        <v>43</v>
      </c>
      <c r="G17" s="224" t="s">
        <v>78</v>
      </c>
      <c r="H17" s="232">
        <f>COUNTIFS(D:D,"=Minimal",F:F,"=Select From Drop Down")</f>
        <v>34</v>
      </c>
      <c r="I17" s="235">
        <f t="shared" si="4"/>
        <v>2</v>
      </c>
      <c r="J17" s="236">
        <f t="shared" si="5"/>
        <v>0</v>
      </c>
      <c r="K17" s="250">
        <f t="shared" si="6"/>
        <v>0</v>
      </c>
      <c r="L17" s="20"/>
    </row>
    <row r="18" spans="2:12" ht="45" customHeight="1" x14ac:dyDescent="0.25">
      <c r="B18" s="78" t="str">
        <f t="shared" si="0"/>
        <v>ITone</v>
      </c>
      <c r="C18" s="79">
        <f>IF(ISTEXT(D18),MAX($C$6:$C17)+1,"")</f>
        <v>14</v>
      </c>
      <c r="D18" s="80" t="s">
        <v>11</v>
      </c>
      <c r="E18" s="89" t="s">
        <v>128</v>
      </c>
      <c r="F18" s="223" t="s">
        <v>43</v>
      </c>
      <c r="G18" s="224" t="s">
        <v>80</v>
      </c>
      <c r="H18" s="232">
        <f>COUNTIFS(D:D,"=Minimal",F:F,"=Function Available")</f>
        <v>0</v>
      </c>
      <c r="I18" s="235">
        <f t="shared" si="4"/>
        <v>1</v>
      </c>
      <c r="J18" s="236">
        <f t="shared" si="5"/>
        <v>0</v>
      </c>
      <c r="K18" s="250">
        <f t="shared" si="6"/>
        <v>0</v>
      </c>
      <c r="L18" s="20"/>
    </row>
    <row r="19" spans="2:12" ht="30" customHeight="1" x14ac:dyDescent="0.25">
      <c r="B19" s="78" t="str">
        <f t="shared" si="0"/>
        <v>ITone</v>
      </c>
      <c r="C19" s="79">
        <f>IF(ISTEXT(D19),MAX($C$6:$C18)+1,"")</f>
        <v>15</v>
      </c>
      <c r="D19" s="80" t="s">
        <v>10</v>
      </c>
      <c r="E19" s="89" t="s">
        <v>129</v>
      </c>
      <c r="F19" s="223" t="s">
        <v>43</v>
      </c>
      <c r="G19" s="224" t="s">
        <v>82</v>
      </c>
      <c r="H19" s="232">
        <f>COUNTIFS(D:D,"=Minimal",F:F,"=Function Not Available")</f>
        <v>0</v>
      </c>
      <c r="I19" s="235">
        <f t="shared" si="4"/>
        <v>2</v>
      </c>
      <c r="J19" s="236">
        <f t="shared" si="5"/>
        <v>0</v>
      </c>
      <c r="K19" s="250">
        <f t="shared" si="6"/>
        <v>0</v>
      </c>
      <c r="L19" s="20"/>
    </row>
    <row r="20" spans="2:12" ht="30" customHeight="1" x14ac:dyDescent="0.25">
      <c r="B20" s="78" t="str">
        <f t="shared" si="0"/>
        <v>ITone</v>
      </c>
      <c r="C20" s="79">
        <f>IF(ISTEXT(D20),MAX($C$6:$C19)+1,"")</f>
        <v>16</v>
      </c>
      <c r="D20" s="80" t="s">
        <v>11</v>
      </c>
      <c r="E20" s="89" t="s">
        <v>130</v>
      </c>
      <c r="F20" s="223" t="s">
        <v>43</v>
      </c>
      <c r="G20" s="224" t="s">
        <v>83</v>
      </c>
      <c r="H20" s="232">
        <f>COUNTIFS(D:D,"=Minimal",F:F,"=Exception")</f>
        <v>0</v>
      </c>
      <c r="I20" s="235">
        <f t="shared" si="4"/>
        <v>1</v>
      </c>
      <c r="J20" s="236">
        <f t="shared" si="5"/>
        <v>0</v>
      </c>
      <c r="K20" s="250">
        <f t="shared" si="6"/>
        <v>0</v>
      </c>
      <c r="L20" s="20"/>
    </row>
    <row r="21" spans="2:12" ht="30" customHeight="1" x14ac:dyDescent="0.25">
      <c r="B21" s="78" t="str">
        <f t="shared" si="0"/>
        <v>ITone</v>
      </c>
      <c r="C21" s="79">
        <f>IF(ISTEXT(D21),MAX($C$6:$C20)+1,"")</f>
        <v>17</v>
      </c>
      <c r="D21" s="80" t="s">
        <v>11</v>
      </c>
      <c r="E21" s="89" t="s">
        <v>131</v>
      </c>
      <c r="F21" s="223" t="s">
        <v>43</v>
      </c>
      <c r="G21" s="224"/>
      <c r="H21" s="232"/>
      <c r="I21" s="235">
        <f t="shared" si="4"/>
        <v>1</v>
      </c>
      <c r="J21" s="236">
        <f t="shared" si="5"/>
        <v>0</v>
      </c>
      <c r="K21" s="250">
        <f t="shared" si="6"/>
        <v>0</v>
      </c>
      <c r="L21" s="20"/>
    </row>
    <row r="22" spans="2:12" ht="42.75" customHeight="1" x14ac:dyDescent="0.25">
      <c r="B22" s="78" t="str">
        <f t="shared" si="0"/>
        <v>ITone</v>
      </c>
      <c r="C22" s="79">
        <f>IF(ISTEXT(D22),MAX($C$6:$C21)+1,"")</f>
        <v>18</v>
      </c>
      <c r="D22" s="80" t="s">
        <v>11</v>
      </c>
      <c r="E22" s="88" t="s">
        <v>132</v>
      </c>
      <c r="F22" s="223" t="s">
        <v>43</v>
      </c>
      <c r="G22" s="224"/>
      <c r="H22" s="231"/>
      <c r="I22" s="235">
        <f t="shared" si="4"/>
        <v>1</v>
      </c>
      <c r="J22" s="236">
        <f t="shared" si="5"/>
        <v>0</v>
      </c>
      <c r="K22" s="250">
        <f t="shared" si="6"/>
        <v>0</v>
      </c>
      <c r="L22" s="20"/>
    </row>
    <row r="23" spans="2:12" ht="30" customHeight="1" x14ac:dyDescent="0.25">
      <c r="B23" s="78" t="str">
        <f t="shared" si="0"/>
        <v>ITone</v>
      </c>
      <c r="C23" s="79">
        <f>IF(ISTEXT(D23),MAX($C$6:$C22)+1,"")</f>
        <v>19</v>
      </c>
      <c r="D23" s="80" t="s">
        <v>10</v>
      </c>
      <c r="E23" s="88" t="s">
        <v>133</v>
      </c>
      <c r="F23" s="223" t="s">
        <v>43</v>
      </c>
      <c r="G23" s="224"/>
      <c r="H23" s="231"/>
      <c r="I23" s="235">
        <f t="shared" si="4"/>
        <v>2</v>
      </c>
      <c r="J23" s="236">
        <f t="shared" si="5"/>
        <v>0</v>
      </c>
      <c r="K23" s="250">
        <f t="shared" si="6"/>
        <v>0</v>
      </c>
      <c r="L23" s="20"/>
    </row>
    <row r="24" spans="2:12" ht="30" customHeight="1" x14ac:dyDescent="0.25">
      <c r="B24" s="78" t="str">
        <f t="shared" si="0"/>
        <v>ITone</v>
      </c>
      <c r="C24" s="79">
        <f>IF(ISTEXT(D24),MAX($C$6:$C23)+1,"")</f>
        <v>20</v>
      </c>
      <c r="D24" s="80" t="s">
        <v>10</v>
      </c>
      <c r="E24" s="81" t="s">
        <v>134</v>
      </c>
      <c r="F24" s="237" t="s">
        <v>43</v>
      </c>
      <c r="G24" s="241"/>
      <c r="H24" s="242"/>
      <c r="I24" s="238">
        <f>VLOOKUP($D24,SpecData,2,FALSE)</f>
        <v>2</v>
      </c>
      <c r="J24" s="239">
        <f>VLOOKUP($F24,AvailabilityData,2,FALSE)</f>
        <v>0</v>
      </c>
      <c r="K24" s="254">
        <f>I24*J24</f>
        <v>0</v>
      </c>
      <c r="L24" s="20"/>
    </row>
    <row r="25" spans="2:12" ht="15.6" customHeight="1" x14ac:dyDescent="0.25">
      <c r="B25" s="133" t="s">
        <v>135</v>
      </c>
      <c r="C25" s="134"/>
      <c r="D25" s="134"/>
      <c r="E25" s="134"/>
      <c r="F25" s="128"/>
      <c r="G25" s="129"/>
      <c r="H25" s="129"/>
      <c r="I25" s="129"/>
      <c r="J25" s="129"/>
      <c r="K25" s="129"/>
      <c r="L25" s="129"/>
    </row>
    <row r="26" spans="2:12" ht="30" customHeight="1" x14ac:dyDescent="0.25">
      <c r="B26" s="78" t="str">
        <f t="shared" si="0"/>
        <v>ITone</v>
      </c>
      <c r="C26" s="79">
        <f>IF(ISTEXT(D26),MAX($C$6:$C24)+1,"")</f>
        <v>21</v>
      </c>
      <c r="D26" s="80" t="s">
        <v>11</v>
      </c>
      <c r="E26" s="81" t="s">
        <v>645</v>
      </c>
      <c r="F26" s="237" t="s">
        <v>43</v>
      </c>
      <c r="G26" s="241"/>
      <c r="H26" s="242"/>
      <c r="I26" s="238">
        <f t="shared" ref="I26:I42" si="7">VLOOKUP($D26,SpecData,2,FALSE)</f>
        <v>1</v>
      </c>
      <c r="J26" s="239">
        <f t="shared" ref="J26:J42" si="8">VLOOKUP($F26,AvailabilityData,2,FALSE)</f>
        <v>0</v>
      </c>
      <c r="K26" s="254">
        <f t="shared" ref="K26:K30" si="9">I26*J26</f>
        <v>0</v>
      </c>
      <c r="L26" s="20"/>
    </row>
    <row r="27" spans="2:12" ht="30" customHeight="1" x14ac:dyDescent="0.25">
      <c r="B27" s="78" t="str">
        <f t="shared" si="0"/>
        <v>ITone</v>
      </c>
      <c r="C27" s="79">
        <f>IF(ISTEXT(D27),MAX($C$6:$C26)+1,"")</f>
        <v>22</v>
      </c>
      <c r="D27" s="80" t="s">
        <v>11</v>
      </c>
      <c r="E27" s="81" t="s">
        <v>646</v>
      </c>
      <c r="F27" s="237" t="s">
        <v>43</v>
      </c>
      <c r="G27" s="241"/>
      <c r="H27" s="242"/>
      <c r="I27" s="238">
        <f>VLOOKUP($D27,SpecData,2,FALSE)</f>
        <v>1</v>
      </c>
      <c r="J27" s="239">
        <f>VLOOKUP($F27,AvailabilityData,2,FALSE)</f>
        <v>0</v>
      </c>
      <c r="K27" s="254">
        <f>I27*J27</f>
        <v>0</v>
      </c>
      <c r="L27" s="54"/>
    </row>
    <row r="28" spans="2:12" ht="30" customHeight="1" x14ac:dyDescent="0.25">
      <c r="B28" s="78" t="str">
        <f t="shared" si="0"/>
        <v>ITone</v>
      </c>
      <c r="C28" s="79">
        <f>IF(ISTEXT(D28),MAX($C$6:$C27)+1,"")</f>
        <v>23</v>
      </c>
      <c r="D28" s="80" t="s">
        <v>11</v>
      </c>
      <c r="E28" s="81" t="s">
        <v>136</v>
      </c>
      <c r="F28" s="237" t="s">
        <v>43</v>
      </c>
      <c r="G28" s="241"/>
      <c r="H28" s="242"/>
      <c r="I28" s="238">
        <f t="shared" si="7"/>
        <v>1</v>
      </c>
      <c r="J28" s="239">
        <f t="shared" si="8"/>
        <v>0</v>
      </c>
      <c r="K28" s="254">
        <f t="shared" si="9"/>
        <v>0</v>
      </c>
      <c r="L28" s="20"/>
    </row>
    <row r="29" spans="2:12" ht="30" customHeight="1" x14ac:dyDescent="0.25">
      <c r="B29" s="78" t="str">
        <f t="shared" si="0"/>
        <v>ITone</v>
      </c>
      <c r="C29" s="79">
        <f>IF(ISTEXT(D29),MAX($C$6:$C28)+1,"")</f>
        <v>24</v>
      </c>
      <c r="D29" s="80" t="s">
        <v>11</v>
      </c>
      <c r="E29" s="81" t="s">
        <v>137</v>
      </c>
      <c r="F29" s="237" t="s">
        <v>43</v>
      </c>
      <c r="G29" s="241"/>
      <c r="H29" s="242"/>
      <c r="I29" s="238">
        <f t="shared" si="7"/>
        <v>1</v>
      </c>
      <c r="J29" s="239">
        <f t="shared" si="8"/>
        <v>0</v>
      </c>
      <c r="K29" s="254">
        <f t="shared" si="9"/>
        <v>0</v>
      </c>
      <c r="L29" s="20"/>
    </row>
    <row r="30" spans="2:12" ht="30" customHeight="1" x14ac:dyDescent="0.25">
      <c r="B30" s="78" t="str">
        <f t="shared" si="0"/>
        <v>ITone</v>
      </c>
      <c r="C30" s="79">
        <f>IF(ISTEXT(D30),MAX($C$6:$C29)+1,"")</f>
        <v>25</v>
      </c>
      <c r="D30" s="80" t="s">
        <v>11</v>
      </c>
      <c r="E30" s="81" t="s">
        <v>138</v>
      </c>
      <c r="F30" s="237" t="s">
        <v>43</v>
      </c>
      <c r="G30" s="241"/>
      <c r="H30" s="242"/>
      <c r="I30" s="238">
        <f t="shared" si="7"/>
        <v>1</v>
      </c>
      <c r="J30" s="239">
        <f t="shared" si="8"/>
        <v>0</v>
      </c>
      <c r="K30" s="254">
        <f t="shared" si="9"/>
        <v>0</v>
      </c>
      <c r="L30" s="20"/>
    </row>
    <row r="31" spans="2:12" ht="30" customHeight="1" x14ac:dyDescent="0.25">
      <c r="B31" s="78" t="str">
        <f t="shared" si="0"/>
        <v>ITone</v>
      </c>
      <c r="C31" s="79">
        <f>IF(ISTEXT(D31),MAX($C$6:$C30)+1,"")</f>
        <v>26</v>
      </c>
      <c r="D31" s="80" t="s">
        <v>11</v>
      </c>
      <c r="E31" s="81" t="s">
        <v>139</v>
      </c>
      <c r="F31" s="237" t="s">
        <v>43</v>
      </c>
      <c r="G31" s="241"/>
      <c r="H31" s="242"/>
      <c r="I31" s="238">
        <f t="shared" si="7"/>
        <v>1</v>
      </c>
      <c r="J31" s="239">
        <f t="shared" si="8"/>
        <v>0</v>
      </c>
      <c r="K31" s="254">
        <f t="shared" ref="K31:K34" si="10">I31*J31</f>
        <v>0</v>
      </c>
      <c r="L31" s="20"/>
    </row>
    <row r="32" spans="2:12" ht="30" customHeight="1" x14ac:dyDescent="0.25">
      <c r="B32" s="78" t="str">
        <f t="shared" si="0"/>
        <v>ITone</v>
      </c>
      <c r="C32" s="79">
        <f>IF(ISTEXT(D32),MAX($C$6:$C31)+1,"")</f>
        <v>27</v>
      </c>
      <c r="D32" s="80" t="s">
        <v>11</v>
      </c>
      <c r="E32" s="81" t="s">
        <v>140</v>
      </c>
      <c r="F32" s="237" t="s">
        <v>43</v>
      </c>
      <c r="G32" s="241"/>
      <c r="H32" s="242"/>
      <c r="I32" s="238">
        <f t="shared" si="7"/>
        <v>1</v>
      </c>
      <c r="J32" s="239">
        <f t="shared" si="8"/>
        <v>0</v>
      </c>
      <c r="K32" s="254">
        <f t="shared" si="10"/>
        <v>0</v>
      </c>
      <c r="L32" s="20"/>
    </row>
    <row r="33" spans="2:12" ht="30" customHeight="1" x14ac:dyDescent="0.25">
      <c r="B33" s="78" t="str">
        <f t="shared" si="0"/>
        <v>ITone</v>
      </c>
      <c r="C33" s="79">
        <f>IF(ISTEXT(D33),MAX($C$6:$C32)+1,"")</f>
        <v>28</v>
      </c>
      <c r="D33" s="80" t="s">
        <v>11</v>
      </c>
      <c r="E33" s="81" t="s">
        <v>141</v>
      </c>
      <c r="F33" s="237" t="s">
        <v>43</v>
      </c>
      <c r="G33" s="241"/>
      <c r="H33" s="242"/>
      <c r="I33" s="238">
        <f t="shared" si="7"/>
        <v>1</v>
      </c>
      <c r="J33" s="239">
        <f t="shared" si="8"/>
        <v>0</v>
      </c>
      <c r="K33" s="254">
        <f t="shared" si="10"/>
        <v>0</v>
      </c>
      <c r="L33" s="20"/>
    </row>
    <row r="34" spans="2:12" ht="42.75" x14ac:dyDescent="0.25">
      <c r="B34" s="78" t="str">
        <f t="shared" si="0"/>
        <v>ITone</v>
      </c>
      <c r="C34" s="79">
        <f>IF(ISTEXT(D34),MAX($C$6:$C33)+1,"")</f>
        <v>29</v>
      </c>
      <c r="D34" s="80" t="s">
        <v>11</v>
      </c>
      <c r="E34" s="81" t="s">
        <v>142</v>
      </c>
      <c r="F34" s="237" t="s">
        <v>43</v>
      </c>
      <c r="G34" s="241"/>
      <c r="H34" s="242"/>
      <c r="I34" s="238">
        <f t="shared" si="7"/>
        <v>1</v>
      </c>
      <c r="J34" s="239">
        <f t="shared" si="8"/>
        <v>0</v>
      </c>
      <c r="K34" s="254">
        <f t="shared" si="10"/>
        <v>0</v>
      </c>
      <c r="L34" s="20"/>
    </row>
    <row r="35" spans="2:12" ht="30" customHeight="1" x14ac:dyDescent="0.25">
      <c r="B35" s="78" t="str">
        <f t="shared" si="0"/>
        <v>ITone</v>
      </c>
      <c r="C35" s="79">
        <f>IF(ISTEXT(D35),MAX($C$6:$C34)+1,"")</f>
        <v>30</v>
      </c>
      <c r="D35" s="80" t="s">
        <v>11</v>
      </c>
      <c r="E35" s="81" t="s">
        <v>143</v>
      </c>
      <c r="F35" s="237" t="s">
        <v>43</v>
      </c>
      <c r="G35" s="241"/>
      <c r="H35" s="242"/>
      <c r="I35" s="238">
        <f t="shared" si="7"/>
        <v>1</v>
      </c>
      <c r="J35" s="239">
        <f t="shared" si="8"/>
        <v>0</v>
      </c>
      <c r="K35" s="254">
        <f t="shared" ref="K35:K38" si="11">I35*J35</f>
        <v>0</v>
      </c>
      <c r="L35" s="20"/>
    </row>
    <row r="36" spans="2:12" ht="30" customHeight="1" x14ac:dyDescent="0.25">
      <c r="B36" s="78" t="str">
        <f t="shared" si="0"/>
        <v>ITone</v>
      </c>
      <c r="C36" s="79">
        <f>IF(ISTEXT(D36),MAX($C$6:$C35)+1,"")</f>
        <v>31</v>
      </c>
      <c r="D36" s="80" t="s">
        <v>11</v>
      </c>
      <c r="E36" s="81" t="s">
        <v>144</v>
      </c>
      <c r="F36" s="237" t="s">
        <v>43</v>
      </c>
      <c r="G36" s="241"/>
      <c r="H36" s="242"/>
      <c r="I36" s="238">
        <f t="shared" si="7"/>
        <v>1</v>
      </c>
      <c r="J36" s="239">
        <f t="shared" si="8"/>
        <v>0</v>
      </c>
      <c r="K36" s="254">
        <f t="shared" si="11"/>
        <v>0</v>
      </c>
      <c r="L36" s="20"/>
    </row>
    <row r="37" spans="2:12" ht="30" customHeight="1" x14ac:dyDescent="0.25">
      <c r="B37" s="78" t="str">
        <f t="shared" si="0"/>
        <v>ITone</v>
      </c>
      <c r="C37" s="79">
        <f>IF(ISTEXT(D37),MAX($C$6:$C36)+1,"")</f>
        <v>32</v>
      </c>
      <c r="D37" s="80" t="s">
        <v>11</v>
      </c>
      <c r="E37" s="81" t="s">
        <v>145</v>
      </c>
      <c r="F37" s="237" t="s">
        <v>43</v>
      </c>
      <c r="G37" s="241"/>
      <c r="H37" s="242"/>
      <c r="I37" s="238">
        <f t="shared" si="7"/>
        <v>1</v>
      </c>
      <c r="J37" s="239">
        <f t="shared" si="8"/>
        <v>0</v>
      </c>
      <c r="K37" s="254">
        <f t="shared" si="11"/>
        <v>0</v>
      </c>
      <c r="L37" s="20"/>
    </row>
    <row r="38" spans="2:12" ht="30" customHeight="1" x14ac:dyDescent="0.25">
      <c r="B38" s="78" t="str">
        <f t="shared" si="0"/>
        <v>ITone</v>
      </c>
      <c r="C38" s="79">
        <f>IF(ISTEXT(D38),MAX($C$6:$C37)+1,"")</f>
        <v>33</v>
      </c>
      <c r="D38" s="80" t="s">
        <v>11</v>
      </c>
      <c r="E38" s="81" t="s">
        <v>146</v>
      </c>
      <c r="F38" s="237" t="s">
        <v>43</v>
      </c>
      <c r="G38" s="241"/>
      <c r="H38" s="242"/>
      <c r="I38" s="238">
        <f t="shared" si="7"/>
        <v>1</v>
      </c>
      <c r="J38" s="239">
        <f t="shared" si="8"/>
        <v>0</v>
      </c>
      <c r="K38" s="254">
        <f t="shared" si="11"/>
        <v>0</v>
      </c>
      <c r="L38" s="20"/>
    </row>
    <row r="39" spans="2:12" ht="30" customHeight="1" x14ac:dyDescent="0.25">
      <c r="B39" s="78" t="str">
        <f t="shared" si="0"/>
        <v>ITone</v>
      </c>
      <c r="C39" s="79">
        <f>IF(ISTEXT(D39),MAX($C$6:$C38)+1,"")</f>
        <v>34</v>
      </c>
      <c r="D39" s="80" t="s">
        <v>11</v>
      </c>
      <c r="E39" s="81" t="s">
        <v>521</v>
      </c>
      <c r="F39" s="237" t="s">
        <v>43</v>
      </c>
      <c r="G39" s="241"/>
      <c r="H39" s="242"/>
      <c r="I39" s="238">
        <f t="shared" si="7"/>
        <v>1</v>
      </c>
      <c r="J39" s="239">
        <f t="shared" si="8"/>
        <v>0</v>
      </c>
      <c r="K39" s="254">
        <f t="shared" ref="K39:K42" si="12">I39*J39</f>
        <v>0</v>
      </c>
      <c r="L39" s="20"/>
    </row>
    <row r="40" spans="2:12" ht="30" customHeight="1" x14ac:dyDescent="0.25">
      <c r="B40" s="78" t="str">
        <f t="shared" si="0"/>
        <v>ITone</v>
      </c>
      <c r="C40" s="79">
        <f>IF(ISTEXT(D40),MAX($C$6:$C39)+1,"")</f>
        <v>35</v>
      </c>
      <c r="D40" s="80" t="s">
        <v>11</v>
      </c>
      <c r="E40" s="81" t="s">
        <v>147</v>
      </c>
      <c r="F40" s="237" t="s">
        <v>43</v>
      </c>
      <c r="G40" s="241"/>
      <c r="H40" s="242"/>
      <c r="I40" s="238">
        <f t="shared" si="7"/>
        <v>1</v>
      </c>
      <c r="J40" s="239">
        <f t="shared" si="8"/>
        <v>0</v>
      </c>
      <c r="K40" s="254">
        <f t="shared" si="12"/>
        <v>0</v>
      </c>
      <c r="L40" s="20"/>
    </row>
    <row r="41" spans="2:12" ht="42.75" x14ac:dyDescent="0.25">
      <c r="B41" s="78" t="str">
        <f t="shared" si="0"/>
        <v>ITone</v>
      </c>
      <c r="C41" s="79">
        <f>IF(ISTEXT(D41),MAX($C$6:$C40)+1,"")</f>
        <v>36</v>
      </c>
      <c r="D41" s="80" t="s">
        <v>11</v>
      </c>
      <c r="E41" s="81" t="s">
        <v>148</v>
      </c>
      <c r="F41" s="237" t="s">
        <v>43</v>
      </c>
      <c r="G41" s="241"/>
      <c r="H41" s="242"/>
      <c r="I41" s="238">
        <f t="shared" si="7"/>
        <v>1</v>
      </c>
      <c r="J41" s="239">
        <f t="shared" si="8"/>
        <v>0</v>
      </c>
      <c r="K41" s="254">
        <f t="shared" si="12"/>
        <v>0</v>
      </c>
      <c r="L41" s="20"/>
    </row>
    <row r="42" spans="2:12" ht="30" customHeight="1" x14ac:dyDescent="0.25">
      <c r="B42" s="78" t="str">
        <f t="shared" si="0"/>
        <v>ITone</v>
      </c>
      <c r="C42" s="79">
        <f>IF(ISTEXT(D42),MAX($C$6:$C41)+1,"")</f>
        <v>37</v>
      </c>
      <c r="D42" s="80" t="s">
        <v>11</v>
      </c>
      <c r="E42" s="81" t="s">
        <v>149</v>
      </c>
      <c r="F42" s="237" t="s">
        <v>43</v>
      </c>
      <c r="G42" s="241"/>
      <c r="H42" s="242"/>
      <c r="I42" s="238">
        <f t="shared" si="7"/>
        <v>1</v>
      </c>
      <c r="J42" s="239">
        <f t="shared" si="8"/>
        <v>0</v>
      </c>
      <c r="K42" s="254">
        <f t="shared" si="12"/>
        <v>0</v>
      </c>
      <c r="L42" s="20"/>
    </row>
    <row r="43" spans="2:12" ht="32.65" customHeight="1" x14ac:dyDescent="0.25">
      <c r="B43" s="133"/>
      <c r="C43" s="134"/>
      <c r="D43" s="134"/>
      <c r="E43" s="135" t="s">
        <v>150</v>
      </c>
      <c r="F43" s="128"/>
      <c r="G43" s="129"/>
      <c r="H43" s="129"/>
      <c r="I43" s="129"/>
      <c r="J43" s="129"/>
      <c r="K43" s="129"/>
      <c r="L43" s="129"/>
    </row>
    <row r="44" spans="2:12" ht="30" customHeight="1" x14ac:dyDescent="0.25">
      <c r="B44" s="78" t="str">
        <f t="shared" si="0"/>
        <v>ITone</v>
      </c>
      <c r="C44" s="79">
        <f>IF(ISTEXT(D44),MAX($C$6:$C42)+1,"")</f>
        <v>38</v>
      </c>
      <c r="D44" s="80" t="s">
        <v>11</v>
      </c>
      <c r="E44" s="136" t="s">
        <v>551</v>
      </c>
      <c r="F44" s="237" t="s">
        <v>43</v>
      </c>
      <c r="G44" s="241"/>
      <c r="H44" s="242"/>
      <c r="I44" s="238">
        <f t="shared" ref="I44:I51" si="13">VLOOKUP($D44,SpecData,2,FALSE)</f>
        <v>1</v>
      </c>
      <c r="J44" s="239">
        <f t="shared" ref="J44:J51" si="14">VLOOKUP($F44,AvailabilityData,2,FALSE)</f>
        <v>0</v>
      </c>
      <c r="K44" s="254">
        <f t="shared" ref="K44:K47" si="15">I44*J44</f>
        <v>0</v>
      </c>
      <c r="L44" s="20"/>
    </row>
    <row r="45" spans="2:12" ht="30" customHeight="1" x14ac:dyDescent="0.25">
      <c r="B45" s="78" t="str">
        <f t="shared" si="0"/>
        <v>ITone</v>
      </c>
      <c r="C45" s="79">
        <f>IF(ISTEXT(D45),MAX($C$6:$C44)+1,"")</f>
        <v>39</v>
      </c>
      <c r="D45" s="80" t="s">
        <v>11</v>
      </c>
      <c r="E45" s="137" t="s">
        <v>552</v>
      </c>
      <c r="F45" s="237" t="s">
        <v>43</v>
      </c>
      <c r="G45" s="241"/>
      <c r="H45" s="242"/>
      <c r="I45" s="238">
        <f t="shared" si="13"/>
        <v>1</v>
      </c>
      <c r="J45" s="239">
        <f t="shared" si="14"/>
        <v>0</v>
      </c>
      <c r="K45" s="254">
        <f t="shared" si="15"/>
        <v>0</v>
      </c>
      <c r="L45" s="20"/>
    </row>
    <row r="46" spans="2:12" ht="30" customHeight="1" x14ac:dyDescent="0.25">
      <c r="B46" s="78" t="str">
        <f t="shared" si="0"/>
        <v>ITone</v>
      </c>
      <c r="C46" s="79">
        <f>IF(ISTEXT(D46),MAX($C$6:$C45)+1,"")</f>
        <v>40</v>
      </c>
      <c r="D46" s="80" t="s">
        <v>11</v>
      </c>
      <c r="E46" s="137" t="s">
        <v>553</v>
      </c>
      <c r="F46" s="237" t="s">
        <v>43</v>
      </c>
      <c r="G46" s="241"/>
      <c r="H46" s="242"/>
      <c r="I46" s="238">
        <f t="shared" si="13"/>
        <v>1</v>
      </c>
      <c r="J46" s="239">
        <f t="shared" si="14"/>
        <v>0</v>
      </c>
      <c r="K46" s="254">
        <f t="shared" si="15"/>
        <v>0</v>
      </c>
      <c r="L46" s="20"/>
    </row>
    <row r="47" spans="2:12" ht="30" customHeight="1" x14ac:dyDescent="0.25">
      <c r="B47" s="78" t="str">
        <f t="shared" si="0"/>
        <v>ITone</v>
      </c>
      <c r="C47" s="79">
        <f>IF(ISTEXT(D47),MAX($C$6:$C46)+1,"")</f>
        <v>41</v>
      </c>
      <c r="D47" s="80" t="s">
        <v>11</v>
      </c>
      <c r="E47" s="137" t="s">
        <v>554</v>
      </c>
      <c r="F47" s="237" t="s">
        <v>43</v>
      </c>
      <c r="G47" s="241"/>
      <c r="H47" s="242"/>
      <c r="I47" s="238">
        <f t="shared" si="13"/>
        <v>1</v>
      </c>
      <c r="J47" s="239">
        <f t="shared" si="14"/>
        <v>0</v>
      </c>
      <c r="K47" s="254">
        <f t="shared" si="15"/>
        <v>0</v>
      </c>
      <c r="L47" s="20"/>
    </row>
    <row r="48" spans="2:12" ht="42.75" x14ac:dyDescent="0.25">
      <c r="B48" s="78" t="str">
        <f t="shared" si="0"/>
        <v>ITone</v>
      </c>
      <c r="C48" s="79">
        <f>IF(ISTEXT(D48),MAX($C$6:$C47)+1,"")</f>
        <v>42</v>
      </c>
      <c r="D48" s="80" t="s">
        <v>11</v>
      </c>
      <c r="E48" s="138" t="s">
        <v>151</v>
      </c>
      <c r="F48" s="237" t="s">
        <v>43</v>
      </c>
      <c r="G48" s="241"/>
      <c r="H48" s="242"/>
      <c r="I48" s="238">
        <f t="shared" si="13"/>
        <v>1</v>
      </c>
      <c r="J48" s="239">
        <f t="shared" si="14"/>
        <v>0</v>
      </c>
      <c r="K48" s="254">
        <f t="shared" ref="K48:K49" si="16">I48*J48</f>
        <v>0</v>
      </c>
      <c r="L48" s="20"/>
    </row>
    <row r="49" spans="2:12" ht="28.5" x14ac:dyDescent="0.25">
      <c r="B49" s="78" t="str">
        <f t="shared" si="0"/>
        <v>ITone</v>
      </c>
      <c r="C49" s="79">
        <f>IF(ISTEXT(D49),MAX($C$6:$C48)+1,"")</f>
        <v>43</v>
      </c>
      <c r="D49" s="80" t="s">
        <v>11</v>
      </c>
      <c r="E49" s="138" t="s">
        <v>535</v>
      </c>
      <c r="F49" s="237" t="s">
        <v>43</v>
      </c>
      <c r="G49" s="241"/>
      <c r="H49" s="242"/>
      <c r="I49" s="238">
        <f t="shared" si="13"/>
        <v>1</v>
      </c>
      <c r="J49" s="239">
        <f t="shared" si="14"/>
        <v>0</v>
      </c>
      <c r="K49" s="254">
        <f t="shared" si="16"/>
        <v>0</v>
      </c>
      <c r="L49" s="20"/>
    </row>
    <row r="50" spans="2:12" ht="42.75" x14ac:dyDescent="0.25">
      <c r="B50" s="78" t="str">
        <f t="shared" si="0"/>
        <v>ITone</v>
      </c>
      <c r="C50" s="79">
        <f>IF(ISTEXT(D50),MAX($C$6:$C49)+1,"")</f>
        <v>44</v>
      </c>
      <c r="D50" s="80" t="s">
        <v>11</v>
      </c>
      <c r="E50" s="139" t="s">
        <v>536</v>
      </c>
      <c r="F50" s="237" t="s">
        <v>43</v>
      </c>
      <c r="G50" s="241"/>
      <c r="H50" s="242"/>
      <c r="I50" s="238">
        <f>VLOOKUP($D50,SpecData,2,FALSE)</f>
        <v>1</v>
      </c>
      <c r="J50" s="239">
        <f>VLOOKUP($F50,AvailabilityData,2,FALSE)</f>
        <v>0</v>
      </c>
      <c r="K50" s="254">
        <f>I50*J50</f>
        <v>0</v>
      </c>
      <c r="L50" s="54"/>
    </row>
    <row r="51" spans="2:12" ht="42.75" x14ac:dyDescent="0.25">
      <c r="B51" s="78" t="str">
        <f t="shared" si="0"/>
        <v>ITone</v>
      </c>
      <c r="C51" s="79">
        <f>IF(ISTEXT(D51),MAX($C$6:$C50)+1,"")</f>
        <v>45</v>
      </c>
      <c r="D51" s="80" t="s">
        <v>11</v>
      </c>
      <c r="E51" s="140" t="s">
        <v>534</v>
      </c>
      <c r="F51" s="237" t="s">
        <v>43</v>
      </c>
      <c r="G51" s="241"/>
      <c r="H51" s="242"/>
      <c r="I51" s="238">
        <f t="shared" si="13"/>
        <v>1</v>
      </c>
      <c r="J51" s="239">
        <f t="shared" si="14"/>
        <v>0</v>
      </c>
      <c r="K51" s="254">
        <f>I51*J51</f>
        <v>0</v>
      </c>
      <c r="L51" s="20"/>
    </row>
    <row r="52" spans="2:12" ht="30" customHeight="1" x14ac:dyDescent="0.25">
      <c r="B52" s="78" t="str">
        <f t="shared" si="0"/>
        <v>ITone</v>
      </c>
      <c r="C52" s="79">
        <f>IF(ISTEXT(D52),MAX($C$6:$C51)+1,"")</f>
        <v>46</v>
      </c>
      <c r="D52" s="80" t="s">
        <v>11</v>
      </c>
      <c r="E52" s="138" t="s">
        <v>152</v>
      </c>
      <c r="F52" s="237" t="s">
        <v>43</v>
      </c>
      <c r="G52" s="241"/>
      <c r="H52" s="242"/>
      <c r="I52" s="238">
        <f t="shared" si="4"/>
        <v>1</v>
      </c>
      <c r="J52" s="239">
        <f t="shared" si="5"/>
        <v>0</v>
      </c>
      <c r="K52" s="254">
        <f t="shared" si="6"/>
        <v>0</v>
      </c>
      <c r="L52" s="21"/>
    </row>
    <row r="53" spans="2:12" ht="30" hidden="1" customHeight="1" x14ac:dyDescent="0.25">
      <c r="B53" s="141"/>
      <c r="C53" s="141"/>
      <c r="D53" s="142"/>
      <c r="E53" s="143"/>
      <c r="F53" s="144"/>
      <c r="H53" s="145"/>
      <c r="I53" s="146"/>
      <c r="J53" s="147"/>
      <c r="K53" s="146"/>
      <c r="L53" s="132"/>
    </row>
    <row r="54" spans="2:12" ht="7.5" customHeight="1" x14ac:dyDescent="0.25">
      <c r="F54" s="148"/>
    </row>
    <row r="55" spans="2:12" hidden="1" x14ac:dyDescent="0.25">
      <c r="F55" s="148"/>
    </row>
    <row r="56" spans="2:12" hidden="1" x14ac:dyDescent="0.25">
      <c r="F56" s="148"/>
    </row>
    <row r="57" spans="2:12" hidden="1" x14ac:dyDescent="0.25">
      <c r="F57" s="148"/>
    </row>
    <row r="58" spans="2:12" hidden="1" x14ac:dyDescent="0.25">
      <c r="F58" s="148"/>
    </row>
    <row r="59" spans="2:12" hidden="1" x14ac:dyDescent="0.25">
      <c r="F59" s="148"/>
    </row>
    <row r="60" spans="2:12" hidden="1" x14ac:dyDescent="0.25">
      <c r="F60" s="148"/>
    </row>
    <row r="61" spans="2:12" hidden="1" x14ac:dyDescent="0.25">
      <c r="F61" s="148"/>
    </row>
    <row r="62" spans="2:12" hidden="1" x14ac:dyDescent="0.25">
      <c r="F62" s="148"/>
    </row>
    <row r="63" spans="2:12" hidden="1" x14ac:dyDescent="0.25">
      <c r="F63" s="148"/>
    </row>
    <row r="64" spans="2:12" hidden="1" x14ac:dyDescent="0.25">
      <c r="F64" s="148"/>
    </row>
    <row r="65" spans="6:6" hidden="1" x14ac:dyDescent="0.25">
      <c r="F65" s="148"/>
    </row>
    <row r="66" spans="6:6" hidden="1" x14ac:dyDescent="0.25">
      <c r="F66" s="148"/>
    </row>
    <row r="67" spans="6:6" hidden="1" x14ac:dyDescent="0.25">
      <c r="F67" s="148"/>
    </row>
    <row r="68" spans="6:6" hidden="1" x14ac:dyDescent="0.25">
      <c r="F68" s="148"/>
    </row>
    <row r="69" spans="6:6" hidden="1" x14ac:dyDescent="0.25">
      <c r="F69" s="148"/>
    </row>
    <row r="70" spans="6:6" hidden="1" x14ac:dyDescent="0.25">
      <c r="F70" s="148"/>
    </row>
    <row r="71" spans="6:6" hidden="1" x14ac:dyDescent="0.25">
      <c r="F71" s="148"/>
    </row>
    <row r="72" spans="6:6" x14ac:dyDescent="0.25"/>
  </sheetData>
  <sheetProtection algorithmName="SHA-512" hashValue="CCc9ULay9UBvTprgdJoiwHB6heS0SLwGqDekapQ7wAqh1vFJaD+aBDfWcpYb0RGc7VoiXuDe9rxBOLiNwmYtAA==" saltValue="HGXyY9bl/j80ufwKBcZvMA==" spinCount="100000" sheet="1" selectLockedCells="1"/>
  <conditionalFormatting sqref="D4">
    <cfRule type="cellIs" dxfId="203" priority="1" operator="equal">
      <formula>"Important"</formula>
    </cfRule>
    <cfRule type="cellIs" dxfId="202" priority="2" operator="equal">
      <formula>"Crucial"</formula>
    </cfRule>
    <cfRule type="cellIs" dxfId="201" priority="3" operator="equal">
      <formula>"N/A"</formula>
    </cfRule>
  </conditionalFormatting>
  <conditionalFormatting sqref="D6:D24">
    <cfRule type="cellIs" dxfId="200" priority="19" operator="equal">
      <formula>"Important"</formula>
    </cfRule>
    <cfRule type="cellIs" dxfId="199" priority="20" operator="equal">
      <formula>"Crucial"</formula>
    </cfRule>
    <cfRule type="cellIs" dxfId="198" priority="21" operator="equal">
      <formula>"N/A"</formula>
    </cfRule>
  </conditionalFormatting>
  <conditionalFormatting sqref="D26:D42">
    <cfRule type="cellIs" dxfId="197" priority="13" operator="equal">
      <formula>"Important"</formula>
    </cfRule>
    <cfRule type="cellIs" dxfId="196" priority="14" operator="equal">
      <formula>"Crucial"</formula>
    </cfRule>
    <cfRule type="cellIs" dxfId="195" priority="15" operator="equal">
      <formula>"N/A"</formula>
    </cfRule>
  </conditionalFormatting>
  <conditionalFormatting sqref="D44:D52">
    <cfRule type="cellIs" dxfId="194" priority="4" operator="equal">
      <formula>"Important"</formula>
    </cfRule>
    <cfRule type="cellIs" dxfId="193" priority="5" operator="equal">
      <formula>"Crucial"</formula>
    </cfRule>
    <cfRule type="cellIs" dxfId="192" priority="6" operator="equal">
      <formula>"N/A"</formula>
    </cfRule>
  </conditionalFormatting>
  <conditionalFormatting sqref="D53">
    <cfRule type="cellIs" dxfId="191" priority="43" operator="equal">
      <formula>"Important"</formula>
    </cfRule>
    <cfRule type="cellIs" dxfId="190" priority="44" operator="equal">
      <formula>"Crucial"</formula>
    </cfRule>
    <cfRule type="cellIs" dxfId="189" priority="45" operator="equal">
      <formula>"N/A"</formula>
    </cfRule>
  </conditionalFormatting>
  <conditionalFormatting sqref="F4:F43">
    <cfRule type="cellIs" dxfId="188" priority="28" operator="equal">
      <formula>"Function Not Available"</formula>
    </cfRule>
    <cfRule type="cellIs" dxfId="187" priority="29" operator="equal">
      <formula>"Function Available"</formula>
    </cfRule>
    <cfRule type="cellIs" dxfId="186" priority="30" operator="equal">
      <formula>"Exception"</formula>
    </cfRule>
  </conditionalFormatting>
  <conditionalFormatting sqref="F44:F71">
    <cfRule type="cellIs" dxfId="185" priority="34" operator="equal">
      <formula>"Function Not Available"</formula>
    </cfRule>
    <cfRule type="cellIs" dxfId="184" priority="35" operator="equal">
      <formula>"Function Available"</formula>
    </cfRule>
    <cfRule type="cellIs" dxfId="183" priority="36" operator="equal">
      <formula>"Exception"</formula>
    </cfRule>
  </conditionalFormatting>
  <dataValidations count="3">
    <dataValidation type="list" allowBlank="1" showInputMessage="1" showErrorMessage="1" sqref="F4 F6" xr:uid="{00000000-0002-0000-0500-000000000000}">
      <formula1>AvailabilityType</formula1>
    </dataValidation>
    <dataValidation type="list" allowBlank="1" showInputMessage="1" showErrorMessage="1" sqref="D44:D53 D26:D42 D6:D24 D4" xr:uid="{00000000-0002-0000-0500-000001000000}">
      <formula1>SpecType</formula1>
    </dataValidation>
    <dataValidation type="list" allowBlank="1" showInputMessage="1" showErrorMessage="1" errorTitle="Invalid specification type" error="Please enter a Specification type from the drop-down list." sqref="F7:F24 F26:F42 F44:F53" xr:uid="{00000000-0002-0000-0500-000002000000}">
      <formula1>AvailabilityType</formula1>
    </dataValidation>
  </dataValidations>
  <pageMargins left="0.7" right="0.7" top="0.75" bottom="0.75" header="0.3" footer="0.3"/>
  <pageSetup scale="46" fitToHeight="0" orientation="portrait" r:id="rId1"/>
  <headerFooter>
    <oddHeader>&amp;CGCCDA
&amp;F&amp;R&amp;A</oddHeader>
    <oddFooter>&amp;LTSSI Consulting LLC, March 2026&amp;CPage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FFCC00"/>
    <pageSetUpPr fitToPage="1"/>
  </sheetPr>
  <dimension ref="A1:M54"/>
  <sheetViews>
    <sheetView showGridLines="0" zoomScale="80" zoomScaleNormal="80" zoomScalePageLayoutView="40" workbookViewId="0">
      <selection activeCell="F4" sqref="F4"/>
    </sheetView>
  </sheetViews>
  <sheetFormatPr defaultColWidth="0" defaultRowHeight="15" zeroHeight="1" x14ac:dyDescent="0.25"/>
  <cols>
    <col min="1" max="1" width="1.42578125" customWidth="1"/>
    <col min="2" max="2" width="11.7109375" customWidth="1"/>
    <col min="3" max="3" width="11.42578125" customWidth="1"/>
    <col min="4" max="4" width="23.28515625" customWidth="1"/>
    <col min="5" max="5" width="65.7109375" style="63" customWidth="1"/>
    <col min="6" max="6" width="28.7109375" customWidth="1"/>
    <col min="7" max="7" width="15.42578125" style="64" hidden="1" customWidth="1"/>
    <col min="8" max="11" width="12.7109375" hidden="1" customWidth="1"/>
    <col min="12" max="12" width="49.42578125" customWidth="1"/>
    <col min="13" max="13" width="2" customWidth="1"/>
    <col min="14" max="16384" width="9.28515625" hidden="1"/>
  </cols>
  <sheetData>
    <row r="1" spans="2:12" ht="6" customHeight="1" x14ac:dyDescent="0.25"/>
    <row r="2" spans="2:12" s="71" customFormat="1" ht="129" customHeight="1" thickBot="1" x14ac:dyDescent="0.25">
      <c r="B2" s="65" t="s">
        <v>44</v>
      </c>
      <c r="C2" s="66" t="s">
        <v>45</v>
      </c>
      <c r="D2" s="66" t="s">
        <v>46</v>
      </c>
      <c r="E2" s="66" t="s">
        <v>153</v>
      </c>
      <c r="F2" s="66" t="s">
        <v>42</v>
      </c>
      <c r="G2" s="67" t="s">
        <v>48</v>
      </c>
      <c r="H2" s="67" t="s">
        <v>49</v>
      </c>
      <c r="I2" s="68" t="s">
        <v>50</v>
      </c>
      <c r="J2" s="68" t="s">
        <v>51</v>
      </c>
      <c r="K2" s="69" t="s">
        <v>14</v>
      </c>
      <c r="L2" s="70" t="s">
        <v>52</v>
      </c>
    </row>
    <row r="3" spans="2:12" ht="16.5" thickBot="1" x14ac:dyDescent="0.3">
      <c r="B3" s="72" t="s">
        <v>154</v>
      </c>
      <c r="C3" s="72"/>
      <c r="D3" s="72"/>
      <c r="E3" s="72"/>
      <c r="F3" s="72"/>
      <c r="G3" s="73" t="s">
        <v>54</v>
      </c>
      <c r="H3" s="74">
        <f>COUNTA(D4:D502)</f>
        <v>47</v>
      </c>
      <c r="I3" s="75"/>
      <c r="J3" s="76" t="s">
        <v>55</v>
      </c>
      <c r="K3" s="77">
        <f>SUM(K4:K502)</f>
        <v>0</v>
      </c>
      <c r="L3" s="72"/>
    </row>
    <row r="4" spans="2:12" ht="30" customHeight="1" x14ac:dyDescent="0.25">
      <c r="B4" s="78" t="s">
        <v>155</v>
      </c>
      <c r="C4" s="79">
        <v>1</v>
      </c>
      <c r="D4" s="80" t="s">
        <v>9</v>
      </c>
      <c r="E4" s="88" t="s">
        <v>712</v>
      </c>
      <c r="F4" s="223" t="s">
        <v>43</v>
      </c>
      <c r="G4" s="224" t="s">
        <v>57</v>
      </c>
      <c r="H4" s="225">
        <f>COUNTIF(F4:F502,"Select from Drop Down")</f>
        <v>47</v>
      </c>
      <c r="I4" s="226">
        <f>VLOOKUP($D4,SpecData,2,FALSE)</f>
        <v>3</v>
      </c>
      <c r="J4" s="227">
        <f>VLOOKUP($F4,AvailabilityData,2,FALSE)</f>
        <v>0</v>
      </c>
      <c r="K4" s="228">
        <f>I4*J4</f>
        <v>0</v>
      </c>
      <c r="L4" s="20"/>
    </row>
    <row r="5" spans="2:12" ht="30" customHeight="1" x14ac:dyDescent="0.25">
      <c r="B5" s="78" t="s">
        <v>155</v>
      </c>
      <c r="C5" s="79">
        <v>2</v>
      </c>
      <c r="D5" s="80" t="s">
        <v>9</v>
      </c>
      <c r="E5" s="93" t="s">
        <v>655</v>
      </c>
      <c r="F5" s="237" t="s">
        <v>43</v>
      </c>
      <c r="G5" s="224" t="s">
        <v>59</v>
      </c>
      <c r="H5" s="225">
        <f>COUNTIF(F4:F502,"Function Available")</f>
        <v>0</v>
      </c>
      <c r="I5" s="226">
        <f>VLOOKUP($D5,SpecData,2,FALSE)</f>
        <v>3</v>
      </c>
      <c r="J5" s="227">
        <f>VLOOKUP($F5,AvailabilityData,2,FALSE)</f>
        <v>0</v>
      </c>
      <c r="K5" s="228">
        <f>I5*J5</f>
        <v>0</v>
      </c>
      <c r="L5" s="20"/>
    </row>
    <row r="6" spans="2:12" ht="30" customHeight="1" x14ac:dyDescent="0.25">
      <c r="B6" s="124" t="str">
        <f t="shared" ref="B6:B53" si="0">IF(C6="","",$B$4)</f>
        <v/>
      </c>
      <c r="C6" s="125" t="str">
        <f>IF(ISTEXT(D6),MAX($C4:$C$8)+1,"")</f>
        <v/>
      </c>
      <c r="D6" s="126"/>
      <c r="E6" s="149" t="s">
        <v>156</v>
      </c>
      <c r="F6" s="129"/>
      <c r="G6" s="129"/>
      <c r="H6" s="129"/>
      <c r="I6" s="129"/>
      <c r="J6" s="129"/>
      <c r="K6" s="129"/>
      <c r="L6" s="129"/>
    </row>
    <row r="7" spans="2:12" ht="30" customHeight="1" x14ac:dyDescent="0.25">
      <c r="B7" s="78" t="str">
        <f>IF(C7="","",$B$4)</f>
        <v>IAlphaP</v>
      </c>
      <c r="C7" s="79">
        <v>3</v>
      </c>
      <c r="D7" s="80" t="s">
        <v>9</v>
      </c>
      <c r="E7" s="150" t="s">
        <v>157</v>
      </c>
      <c r="F7" s="223" t="s">
        <v>43</v>
      </c>
      <c r="G7" s="224" t="s">
        <v>61</v>
      </c>
      <c r="H7" s="231">
        <f>COUNTIF(F4:F502,"Function Not Available")</f>
        <v>0</v>
      </c>
      <c r="I7" s="226">
        <f>VLOOKUP($D7,SpecData,2,FALSE)</f>
        <v>3</v>
      </c>
      <c r="J7" s="227">
        <f>VLOOKUP($F7,AvailabilityData,2,FALSE)</f>
        <v>0</v>
      </c>
      <c r="K7" s="228">
        <f>I7*J7</f>
        <v>0</v>
      </c>
      <c r="L7" s="20"/>
    </row>
    <row r="8" spans="2:12" ht="30" customHeight="1" x14ac:dyDescent="0.25">
      <c r="B8" s="78" t="str">
        <f t="shared" si="0"/>
        <v>IAlphaP</v>
      </c>
      <c r="C8" s="79">
        <f>IF(ISTEXT(D8),MAX($C$7:$C7)+1,"")</f>
        <v>4</v>
      </c>
      <c r="D8" s="80" t="s">
        <v>9</v>
      </c>
      <c r="E8" s="150" t="s">
        <v>116</v>
      </c>
      <c r="F8" s="223" t="s">
        <v>43</v>
      </c>
      <c r="G8" s="224" t="s">
        <v>63</v>
      </c>
      <c r="H8" s="231">
        <f>COUNTIF(F4:F502,"Exception")</f>
        <v>0</v>
      </c>
      <c r="I8" s="226">
        <f t="shared" ref="I8:I14" si="1">VLOOKUP($D8,SpecData,2,FALSE)</f>
        <v>3</v>
      </c>
      <c r="J8" s="227">
        <f t="shared" ref="J8:J14" si="2">VLOOKUP($F8,AvailabilityData,2,FALSE)</f>
        <v>0</v>
      </c>
      <c r="K8" s="250">
        <f t="shared" ref="K8:K14" si="3">I8*J8</f>
        <v>0</v>
      </c>
      <c r="L8" s="20"/>
    </row>
    <row r="9" spans="2:12" ht="30" customHeight="1" x14ac:dyDescent="0.25">
      <c r="B9" s="78" t="str">
        <f t="shared" si="0"/>
        <v>IAlphaP</v>
      </c>
      <c r="C9" s="79">
        <f>IF(ISTEXT(D9),MAX($C$7:$C8)+1,"")</f>
        <v>5</v>
      </c>
      <c r="D9" s="80" t="s">
        <v>9</v>
      </c>
      <c r="E9" s="150" t="s">
        <v>158</v>
      </c>
      <c r="F9" s="223" t="s">
        <v>43</v>
      </c>
      <c r="G9" s="224" t="s">
        <v>65</v>
      </c>
      <c r="H9" s="232">
        <f>COUNTIFS(D:D,"=Crucial",F:F,"=Select From Drop Down")</f>
        <v>11</v>
      </c>
      <c r="I9" s="226">
        <f t="shared" si="1"/>
        <v>3</v>
      </c>
      <c r="J9" s="227">
        <f t="shared" si="2"/>
        <v>0</v>
      </c>
      <c r="K9" s="228">
        <f t="shared" si="3"/>
        <v>0</v>
      </c>
      <c r="L9" s="20"/>
    </row>
    <row r="10" spans="2:12" ht="30" customHeight="1" x14ac:dyDescent="0.25">
      <c r="B10" s="78" t="str">
        <f t="shared" si="0"/>
        <v>IAlphaP</v>
      </c>
      <c r="C10" s="79">
        <f>IF(ISTEXT(D10),MAX($C$7:$C9)+1,"")</f>
        <v>6</v>
      </c>
      <c r="D10" s="80" t="s">
        <v>10</v>
      </c>
      <c r="E10" s="150" t="s">
        <v>159</v>
      </c>
      <c r="F10" s="223" t="s">
        <v>43</v>
      </c>
      <c r="G10" s="224" t="s">
        <v>67</v>
      </c>
      <c r="H10" s="232">
        <f>COUNTIFS(D:D,"=Crucial",F:F,"=Function Available")</f>
        <v>0</v>
      </c>
      <c r="I10" s="226">
        <f t="shared" si="1"/>
        <v>2</v>
      </c>
      <c r="J10" s="227">
        <f t="shared" si="2"/>
        <v>0</v>
      </c>
      <c r="K10" s="250">
        <f t="shared" si="3"/>
        <v>0</v>
      </c>
      <c r="L10" s="20"/>
    </row>
    <row r="11" spans="2:12" ht="30" customHeight="1" x14ac:dyDescent="0.25">
      <c r="B11" s="78" t="str">
        <f t="shared" si="0"/>
        <v>IAlphaP</v>
      </c>
      <c r="C11" s="79">
        <f>IF(ISTEXT(D11),MAX($C$7:$C10)+1,"")</f>
        <v>7</v>
      </c>
      <c r="D11" s="80" t="s">
        <v>10</v>
      </c>
      <c r="E11" s="150" t="s">
        <v>160</v>
      </c>
      <c r="F11" s="223" t="s">
        <v>43</v>
      </c>
      <c r="G11" s="224" t="s">
        <v>69</v>
      </c>
      <c r="H11" s="232">
        <f>COUNTIFS(D:D,"=Crucial",F:F,"=Function Not Available")</f>
        <v>0</v>
      </c>
      <c r="I11" s="226">
        <f t="shared" si="1"/>
        <v>2</v>
      </c>
      <c r="J11" s="227">
        <f t="shared" si="2"/>
        <v>0</v>
      </c>
      <c r="K11" s="250">
        <f t="shared" si="3"/>
        <v>0</v>
      </c>
      <c r="L11" s="20"/>
    </row>
    <row r="12" spans="2:12" ht="30" customHeight="1" x14ac:dyDescent="0.25">
      <c r="B12" s="78" t="str">
        <f t="shared" si="0"/>
        <v>IAlphaP</v>
      </c>
      <c r="C12" s="79">
        <f>IF(ISTEXT(D12),MAX($C$7:$C11)+1,"")</f>
        <v>8</v>
      </c>
      <c r="D12" s="80" t="s">
        <v>10</v>
      </c>
      <c r="E12" s="151" t="s">
        <v>161</v>
      </c>
      <c r="F12" s="223" t="s">
        <v>43</v>
      </c>
      <c r="G12" s="241" t="s">
        <v>70</v>
      </c>
      <c r="H12" s="251">
        <f>COUNTIFS(D:D,"=Crucial",F:F,"=Exception")</f>
        <v>0</v>
      </c>
      <c r="I12" s="226">
        <f t="shared" si="1"/>
        <v>2</v>
      </c>
      <c r="J12" s="227">
        <f t="shared" si="2"/>
        <v>0</v>
      </c>
      <c r="K12" s="250">
        <f t="shared" si="3"/>
        <v>0</v>
      </c>
      <c r="L12" s="20"/>
    </row>
    <row r="13" spans="2:12" ht="30" customHeight="1" x14ac:dyDescent="0.25">
      <c r="B13" s="78" t="str">
        <f t="shared" si="0"/>
        <v>IAlphaP</v>
      </c>
      <c r="C13" s="79">
        <f>IF(ISTEXT(D13),MAX($C$7:$C12)+1,"")</f>
        <v>9</v>
      </c>
      <c r="D13" s="80" t="s">
        <v>10</v>
      </c>
      <c r="E13" s="151" t="s">
        <v>162</v>
      </c>
      <c r="F13" s="223" t="s">
        <v>43</v>
      </c>
      <c r="G13" s="283" t="s">
        <v>72</v>
      </c>
      <c r="H13" s="289">
        <f>COUNTIFS(D:D,"=Important",F:F,"=Select From Drop Down")</f>
        <v>25</v>
      </c>
      <c r="I13" s="252">
        <f t="shared" si="1"/>
        <v>2</v>
      </c>
      <c r="J13" s="253">
        <f t="shared" si="2"/>
        <v>0</v>
      </c>
      <c r="K13" s="254">
        <f t="shared" si="3"/>
        <v>0</v>
      </c>
      <c r="L13" s="22"/>
    </row>
    <row r="14" spans="2:12" ht="30" customHeight="1" x14ac:dyDescent="0.25">
      <c r="B14" s="78" t="str">
        <f t="shared" si="0"/>
        <v>IAlphaP</v>
      </c>
      <c r="C14" s="79">
        <f>IF(ISTEXT(D14),MAX($C$7:$C13)+1,"")</f>
        <v>10</v>
      </c>
      <c r="D14" s="80" t="s">
        <v>9</v>
      </c>
      <c r="E14" s="151" t="s">
        <v>163</v>
      </c>
      <c r="F14" s="223" t="s">
        <v>43</v>
      </c>
      <c r="G14" s="233" t="s">
        <v>74</v>
      </c>
      <c r="H14" s="234">
        <f>COUNTIFS(D:D,"=Important",F:F,"=Function Available")</f>
        <v>0</v>
      </c>
      <c r="I14" s="290">
        <f t="shared" si="1"/>
        <v>3</v>
      </c>
      <c r="J14" s="291">
        <f t="shared" si="2"/>
        <v>0</v>
      </c>
      <c r="K14" s="292">
        <f t="shared" si="3"/>
        <v>0</v>
      </c>
      <c r="L14" s="23"/>
    </row>
    <row r="15" spans="2:12" ht="30" customHeight="1" x14ac:dyDescent="0.25">
      <c r="B15" s="124" t="str">
        <f t="shared" si="0"/>
        <v/>
      </c>
      <c r="C15" s="125" t="str">
        <f>IF(ISTEXT(D15),MAX($C$7:$C14)+1,"")</f>
        <v/>
      </c>
      <c r="D15" s="126"/>
      <c r="E15" s="149" t="s">
        <v>164</v>
      </c>
      <c r="F15" s="129"/>
      <c r="G15" s="129"/>
      <c r="H15" s="129"/>
      <c r="I15" s="129"/>
      <c r="J15" s="129"/>
      <c r="K15" s="129"/>
      <c r="L15" s="129"/>
    </row>
    <row r="16" spans="2:12" ht="30" customHeight="1" x14ac:dyDescent="0.25">
      <c r="B16" s="78" t="str">
        <f t="shared" si="0"/>
        <v>IAlphaP</v>
      </c>
      <c r="C16" s="79">
        <f>IF(ISTEXT(D16),MAX($C$7:$C15)+1,"")</f>
        <v>11</v>
      </c>
      <c r="D16" s="80" t="s">
        <v>10</v>
      </c>
      <c r="E16" s="150" t="s">
        <v>165</v>
      </c>
      <c r="F16" s="223" t="s">
        <v>43</v>
      </c>
      <c r="G16" s="224" t="s">
        <v>76</v>
      </c>
      <c r="H16" s="232">
        <f>COUNTIFS(D:D,"=Important",F:F,"=Function Not Available")</f>
        <v>0</v>
      </c>
      <c r="I16" s="226">
        <f t="shared" ref="I16:I28" si="4">VLOOKUP($D16,SpecData,2,FALSE)</f>
        <v>2</v>
      </c>
      <c r="J16" s="227">
        <f t="shared" ref="J16:J28" si="5">VLOOKUP($F16,AvailabilityData,2,FALSE)</f>
        <v>0</v>
      </c>
      <c r="K16" s="228">
        <f t="shared" ref="K16:K36" si="6">I16*J16</f>
        <v>0</v>
      </c>
      <c r="L16" s="25"/>
    </row>
    <row r="17" spans="2:12" ht="30" customHeight="1" x14ac:dyDescent="0.25">
      <c r="B17" s="78" t="str">
        <f t="shared" si="0"/>
        <v>IAlphaP</v>
      </c>
      <c r="C17" s="79">
        <f>IF(ISTEXT(D17),MAX($C$7:$C16)+1,"")</f>
        <v>12</v>
      </c>
      <c r="D17" s="80" t="s">
        <v>10</v>
      </c>
      <c r="E17" s="151" t="s">
        <v>166</v>
      </c>
      <c r="F17" s="223" t="s">
        <v>43</v>
      </c>
      <c r="G17" s="224" t="s">
        <v>77</v>
      </c>
      <c r="H17" s="232">
        <f>COUNTIFS(D:D,"=Important",F:F,"=Exception")</f>
        <v>0</v>
      </c>
      <c r="I17" s="235">
        <f t="shared" si="4"/>
        <v>2</v>
      </c>
      <c r="J17" s="236">
        <f t="shared" si="5"/>
        <v>0</v>
      </c>
      <c r="K17" s="250">
        <f t="shared" si="6"/>
        <v>0</v>
      </c>
      <c r="L17" s="20"/>
    </row>
    <row r="18" spans="2:12" ht="30" customHeight="1" x14ac:dyDescent="0.25">
      <c r="B18" s="78" t="str">
        <f t="shared" si="0"/>
        <v>IAlphaP</v>
      </c>
      <c r="C18" s="79">
        <f>IF(ISTEXT(D18),MAX($C$7:$C17)+1,"")</f>
        <v>13</v>
      </c>
      <c r="D18" s="80" t="s">
        <v>9</v>
      </c>
      <c r="E18" s="151" t="s">
        <v>167</v>
      </c>
      <c r="F18" s="223" t="s">
        <v>43</v>
      </c>
      <c r="G18" s="224" t="s">
        <v>78</v>
      </c>
      <c r="H18" s="232">
        <f>COUNTIFS(D:D,"=Minimal",F:F,"=Select From Drop Down")</f>
        <v>11</v>
      </c>
      <c r="I18" s="235">
        <f t="shared" si="4"/>
        <v>3</v>
      </c>
      <c r="J18" s="236">
        <f t="shared" si="5"/>
        <v>0</v>
      </c>
      <c r="K18" s="250">
        <f t="shared" si="6"/>
        <v>0</v>
      </c>
      <c r="L18" s="20"/>
    </row>
    <row r="19" spans="2:12" ht="30" customHeight="1" x14ac:dyDescent="0.25">
      <c r="B19" s="78" t="str">
        <f t="shared" si="0"/>
        <v>IAlphaP</v>
      </c>
      <c r="C19" s="79">
        <f>IF(ISTEXT(D19),MAX($C$7:$C18)+1,"")</f>
        <v>14</v>
      </c>
      <c r="D19" s="80" t="s">
        <v>9</v>
      </c>
      <c r="E19" s="151" t="s">
        <v>168</v>
      </c>
      <c r="F19" s="223" t="s">
        <v>43</v>
      </c>
      <c r="G19" s="224" t="s">
        <v>80</v>
      </c>
      <c r="H19" s="232">
        <f>COUNTIFS(D:D,"=Minimal",F:F,"=Function Available")</f>
        <v>0</v>
      </c>
      <c r="I19" s="235">
        <f t="shared" si="4"/>
        <v>3</v>
      </c>
      <c r="J19" s="236">
        <f t="shared" si="5"/>
        <v>0</v>
      </c>
      <c r="K19" s="250">
        <f t="shared" si="6"/>
        <v>0</v>
      </c>
      <c r="L19" s="20"/>
    </row>
    <row r="20" spans="2:12" ht="30" customHeight="1" x14ac:dyDescent="0.25">
      <c r="B20" s="78" t="str">
        <f t="shared" si="0"/>
        <v>IAlphaP</v>
      </c>
      <c r="C20" s="79">
        <f>IF(ISTEXT(D20),MAX($C$7:$C19)+1,"")</f>
        <v>15</v>
      </c>
      <c r="D20" s="80" t="s">
        <v>9</v>
      </c>
      <c r="E20" s="151" t="s">
        <v>169</v>
      </c>
      <c r="F20" s="223" t="s">
        <v>43</v>
      </c>
      <c r="G20" s="224" t="s">
        <v>82</v>
      </c>
      <c r="H20" s="232">
        <f>COUNTIFS(D:D,"=Minimal",F:F,"=Function Not Available")</f>
        <v>0</v>
      </c>
      <c r="I20" s="235">
        <f t="shared" si="4"/>
        <v>3</v>
      </c>
      <c r="J20" s="236">
        <f t="shared" si="5"/>
        <v>0</v>
      </c>
      <c r="K20" s="250">
        <f t="shared" si="6"/>
        <v>0</v>
      </c>
      <c r="L20" s="20"/>
    </row>
    <row r="21" spans="2:12" ht="30" customHeight="1" x14ac:dyDescent="0.25">
      <c r="B21" s="78" t="str">
        <f t="shared" si="0"/>
        <v>IAlphaP</v>
      </c>
      <c r="C21" s="79">
        <f>IF(ISTEXT(D21),MAX($C$7:$C20)+1,"")</f>
        <v>16</v>
      </c>
      <c r="D21" s="80" t="s">
        <v>10</v>
      </c>
      <c r="E21" s="151" t="s">
        <v>170</v>
      </c>
      <c r="F21" s="223" t="s">
        <v>43</v>
      </c>
      <c r="G21" s="224" t="s">
        <v>83</v>
      </c>
      <c r="H21" s="232">
        <f>COUNTIFS(D:D,"=Minimal",F:F,"=Exception")</f>
        <v>0</v>
      </c>
      <c r="I21" s="235">
        <f t="shared" si="4"/>
        <v>2</v>
      </c>
      <c r="J21" s="236">
        <f t="shared" si="5"/>
        <v>0</v>
      </c>
      <c r="K21" s="250">
        <f t="shared" si="6"/>
        <v>0</v>
      </c>
      <c r="L21" s="20"/>
    </row>
    <row r="22" spans="2:12" ht="30" customHeight="1" x14ac:dyDescent="0.25">
      <c r="B22" s="78" t="str">
        <f t="shared" si="0"/>
        <v>IAlphaP</v>
      </c>
      <c r="C22" s="79">
        <f>IF(ISTEXT(D22),MAX($C$7:$C21)+1,"")</f>
        <v>17</v>
      </c>
      <c r="D22" s="80" t="s">
        <v>10</v>
      </c>
      <c r="E22" s="151" t="s">
        <v>117</v>
      </c>
      <c r="F22" s="223" t="s">
        <v>43</v>
      </c>
      <c r="G22" s="307"/>
      <c r="H22" s="46"/>
      <c r="I22" s="235">
        <f t="shared" si="4"/>
        <v>2</v>
      </c>
      <c r="J22" s="236">
        <f t="shared" si="5"/>
        <v>0</v>
      </c>
      <c r="K22" s="250">
        <f t="shared" si="6"/>
        <v>0</v>
      </c>
      <c r="L22" s="20"/>
    </row>
    <row r="23" spans="2:12" ht="30" customHeight="1" x14ac:dyDescent="0.25">
      <c r="B23" s="78" t="str">
        <f t="shared" si="0"/>
        <v>IAlphaP</v>
      </c>
      <c r="C23" s="79">
        <f>IF(ISTEXT(D23),MAX($C$7:$C22)+1,"")</f>
        <v>18</v>
      </c>
      <c r="D23" s="80" t="s">
        <v>10</v>
      </c>
      <c r="E23" s="151" t="s">
        <v>171</v>
      </c>
      <c r="F23" s="223" t="s">
        <v>43</v>
      </c>
      <c r="G23" s="224"/>
      <c r="H23" s="231"/>
      <c r="I23" s="235">
        <f t="shared" si="4"/>
        <v>2</v>
      </c>
      <c r="J23" s="236">
        <f t="shared" si="5"/>
        <v>0</v>
      </c>
      <c r="K23" s="250">
        <f t="shared" si="6"/>
        <v>0</v>
      </c>
      <c r="L23" s="20"/>
    </row>
    <row r="24" spans="2:12" ht="30" customHeight="1" x14ac:dyDescent="0.25">
      <c r="B24" s="78" t="str">
        <f t="shared" si="0"/>
        <v>IAlphaP</v>
      </c>
      <c r="C24" s="79">
        <f>IF(ISTEXT(D24),MAX($C$7:$C23)+1,"")</f>
        <v>19</v>
      </c>
      <c r="D24" s="80" t="s">
        <v>11</v>
      </c>
      <c r="E24" s="88" t="s">
        <v>172</v>
      </c>
      <c r="F24" s="223" t="s">
        <v>43</v>
      </c>
      <c r="G24" s="224"/>
      <c r="H24" s="231"/>
      <c r="I24" s="235">
        <f t="shared" si="4"/>
        <v>1</v>
      </c>
      <c r="J24" s="236">
        <f t="shared" si="5"/>
        <v>0</v>
      </c>
      <c r="K24" s="250">
        <f t="shared" si="6"/>
        <v>0</v>
      </c>
      <c r="L24" s="20"/>
    </row>
    <row r="25" spans="2:12" ht="30" customHeight="1" x14ac:dyDescent="0.25">
      <c r="B25" s="78" t="str">
        <f t="shared" si="0"/>
        <v>IAlphaP</v>
      </c>
      <c r="C25" s="79">
        <f>IF(ISTEXT(D25),MAX($C$7:$C24)+1,"")</f>
        <v>20</v>
      </c>
      <c r="D25" s="80" t="s">
        <v>10</v>
      </c>
      <c r="E25" s="81" t="s">
        <v>173</v>
      </c>
      <c r="F25" s="223" t="s">
        <v>43</v>
      </c>
      <c r="G25" s="224"/>
      <c r="H25" s="231"/>
      <c r="I25" s="235">
        <f t="shared" si="4"/>
        <v>2</v>
      </c>
      <c r="J25" s="236">
        <f t="shared" si="5"/>
        <v>0</v>
      </c>
      <c r="K25" s="250">
        <f t="shared" si="6"/>
        <v>0</v>
      </c>
      <c r="L25" s="20"/>
    </row>
    <row r="26" spans="2:12" ht="30" customHeight="1" x14ac:dyDescent="0.25">
      <c r="B26" s="124" t="str">
        <f t="shared" si="0"/>
        <v/>
      </c>
      <c r="C26" s="125" t="str">
        <f>IF(ISTEXT(D26),MAX($C$7:$C25)+1,"")</f>
        <v/>
      </c>
      <c r="D26" s="126"/>
      <c r="E26" s="149" t="s">
        <v>174</v>
      </c>
      <c r="F26" s="129"/>
      <c r="G26" s="129"/>
      <c r="H26" s="129"/>
      <c r="I26" s="129"/>
      <c r="J26" s="129"/>
      <c r="K26" s="129"/>
      <c r="L26" s="129"/>
    </row>
    <row r="27" spans="2:12" ht="30" customHeight="1" x14ac:dyDescent="0.25">
      <c r="B27" s="78" t="str">
        <f t="shared" si="0"/>
        <v>IAlphaP</v>
      </c>
      <c r="C27" s="79">
        <f>IF(ISTEXT(D27),MAX($C$7:$C26)+1,"")</f>
        <v>21</v>
      </c>
      <c r="D27" s="80" t="s">
        <v>10</v>
      </c>
      <c r="E27" s="150" t="s">
        <v>175</v>
      </c>
      <c r="F27" s="223" t="s">
        <v>43</v>
      </c>
      <c r="G27" s="224"/>
      <c r="H27" s="231"/>
      <c r="I27" s="235">
        <f t="shared" si="4"/>
        <v>2</v>
      </c>
      <c r="J27" s="236">
        <f t="shared" si="5"/>
        <v>0</v>
      </c>
      <c r="K27" s="250">
        <f t="shared" si="6"/>
        <v>0</v>
      </c>
      <c r="L27" s="20"/>
    </row>
    <row r="28" spans="2:12" ht="30" customHeight="1" x14ac:dyDescent="0.25">
      <c r="B28" s="78" t="str">
        <f t="shared" si="0"/>
        <v>IAlphaP</v>
      </c>
      <c r="C28" s="79">
        <f>IF(ISTEXT(D28),MAX($C$7:$C27)+1,"")</f>
        <v>22</v>
      </c>
      <c r="D28" s="80" t="s">
        <v>10</v>
      </c>
      <c r="E28" s="151" t="s">
        <v>176</v>
      </c>
      <c r="F28" s="223" t="s">
        <v>43</v>
      </c>
      <c r="G28" s="224"/>
      <c r="H28" s="231"/>
      <c r="I28" s="235">
        <f t="shared" si="4"/>
        <v>2</v>
      </c>
      <c r="J28" s="236">
        <f t="shared" si="5"/>
        <v>0</v>
      </c>
      <c r="K28" s="250">
        <f t="shared" si="6"/>
        <v>0</v>
      </c>
      <c r="L28" s="20"/>
    </row>
    <row r="29" spans="2:12" ht="30" customHeight="1" x14ac:dyDescent="0.25">
      <c r="B29" s="78" t="str">
        <f t="shared" si="0"/>
        <v>IAlphaP</v>
      </c>
      <c r="C29" s="79">
        <f>IF(ISTEXT(D29),MAX($C$7:$C28)+1,"")</f>
        <v>23</v>
      </c>
      <c r="D29" s="80" t="s">
        <v>9</v>
      </c>
      <c r="E29" s="151" t="s">
        <v>177</v>
      </c>
      <c r="F29" s="223" t="s">
        <v>43</v>
      </c>
      <c r="G29" s="224"/>
      <c r="H29" s="231"/>
      <c r="I29" s="235">
        <f t="shared" ref="I29:I36" si="7">VLOOKUP($D29,SpecData,2,FALSE)</f>
        <v>3</v>
      </c>
      <c r="J29" s="236">
        <f t="shared" ref="J29:J36" si="8">VLOOKUP($F29,AvailabilityData,2,FALSE)</f>
        <v>0</v>
      </c>
      <c r="K29" s="250">
        <f t="shared" si="6"/>
        <v>0</v>
      </c>
      <c r="L29" s="20"/>
    </row>
    <row r="30" spans="2:12" ht="30" customHeight="1" x14ac:dyDescent="0.25">
      <c r="B30" s="78" t="str">
        <f t="shared" si="0"/>
        <v>IAlphaP</v>
      </c>
      <c r="C30" s="79">
        <f>IF(ISTEXT(D30),MAX($C$7:$C29)+1,"")</f>
        <v>24</v>
      </c>
      <c r="D30" s="80" t="s">
        <v>9</v>
      </c>
      <c r="E30" s="151" t="s">
        <v>178</v>
      </c>
      <c r="F30" s="223" t="s">
        <v>43</v>
      </c>
      <c r="G30" s="224"/>
      <c r="H30" s="231"/>
      <c r="I30" s="235">
        <f t="shared" si="7"/>
        <v>3</v>
      </c>
      <c r="J30" s="236">
        <f t="shared" si="8"/>
        <v>0</v>
      </c>
      <c r="K30" s="250">
        <f t="shared" si="6"/>
        <v>0</v>
      </c>
      <c r="L30" s="20"/>
    </row>
    <row r="31" spans="2:12" ht="30" customHeight="1" x14ac:dyDescent="0.25">
      <c r="B31" s="78" t="str">
        <f t="shared" si="0"/>
        <v>IAlphaP</v>
      </c>
      <c r="C31" s="79">
        <f>IF(ISTEXT(D31),MAX($C$7:$C30)+1,"")</f>
        <v>25</v>
      </c>
      <c r="D31" s="80" t="s">
        <v>10</v>
      </c>
      <c r="E31" s="151" t="s">
        <v>179</v>
      </c>
      <c r="F31" s="223" t="s">
        <v>43</v>
      </c>
      <c r="G31" s="224"/>
      <c r="H31" s="231"/>
      <c r="I31" s="235">
        <f t="shared" si="7"/>
        <v>2</v>
      </c>
      <c r="J31" s="236">
        <f t="shared" si="8"/>
        <v>0</v>
      </c>
      <c r="K31" s="250">
        <f t="shared" si="6"/>
        <v>0</v>
      </c>
      <c r="L31" s="20"/>
    </row>
    <row r="32" spans="2:12" ht="30" customHeight="1" x14ac:dyDescent="0.25">
      <c r="B32" s="78" t="str">
        <f t="shared" si="0"/>
        <v>IAlphaP</v>
      </c>
      <c r="C32" s="79">
        <f>IF(ISTEXT(D32),MAX($C$7:$C31)+1,"")</f>
        <v>26</v>
      </c>
      <c r="D32" s="80" t="s">
        <v>10</v>
      </c>
      <c r="E32" s="88" t="s">
        <v>180</v>
      </c>
      <c r="F32" s="223" t="s">
        <v>43</v>
      </c>
      <c r="G32" s="224"/>
      <c r="H32" s="231"/>
      <c r="I32" s="235">
        <f t="shared" si="7"/>
        <v>2</v>
      </c>
      <c r="J32" s="236">
        <f t="shared" si="8"/>
        <v>0</v>
      </c>
      <c r="K32" s="250">
        <f t="shared" si="6"/>
        <v>0</v>
      </c>
      <c r="L32" s="20"/>
    </row>
    <row r="33" spans="2:12" ht="30" customHeight="1" x14ac:dyDescent="0.25">
      <c r="B33" s="78" t="str">
        <f t="shared" si="0"/>
        <v>IAlphaP</v>
      </c>
      <c r="C33" s="79">
        <f>IF(ISTEXT(D33),MAX($C$7:$C32)+1,"")</f>
        <v>27</v>
      </c>
      <c r="D33" s="80" t="s">
        <v>11</v>
      </c>
      <c r="E33" s="88" t="s">
        <v>181</v>
      </c>
      <c r="F33" s="223" t="s">
        <v>43</v>
      </c>
      <c r="G33" s="224"/>
      <c r="H33" s="231"/>
      <c r="I33" s="235">
        <f t="shared" si="7"/>
        <v>1</v>
      </c>
      <c r="J33" s="236">
        <f t="shared" si="8"/>
        <v>0</v>
      </c>
      <c r="K33" s="250">
        <f t="shared" si="6"/>
        <v>0</v>
      </c>
      <c r="L33" s="20"/>
    </row>
    <row r="34" spans="2:12" ht="30" customHeight="1" x14ac:dyDescent="0.25">
      <c r="B34" s="78" t="str">
        <f t="shared" si="0"/>
        <v>IAlphaP</v>
      </c>
      <c r="C34" s="79">
        <f>IF(ISTEXT(D34),MAX($C$7:$C33)+1,"")</f>
        <v>28</v>
      </c>
      <c r="D34" s="80" t="s">
        <v>11</v>
      </c>
      <c r="E34" s="88" t="s">
        <v>182</v>
      </c>
      <c r="F34" s="223" t="s">
        <v>43</v>
      </c>
      <c r="G34" s="224"/>
      <c r="H34" s="231"/>
      <c r="I34" s="235">
        <f t="shared" si="7"/>
        <v>1</v>
      </c>
      <c r="J34" s="236">
        <f t="shared" si="8"/>
        <v>0</v>
      </c>
      <c r="K34" s="250">
        <f t="shared" si="6"/>
        <v>0</v>
      </c>
      <c r="L34" s="20"/>
    </row>
    <row r="35" spans="2:12" ht="30" customHeight="1" x14ac:dyDescent="0.25">
      <c r="B35" s="78" t="str">
        <f t="shared" si="0"/>
        <v>IAlphaP</v>
      </c>
      <c r="C35" s="79">
        <f>IF(ISTEXT(D35),MAX($C$7:$C34)+1,"")</f>
        <v>29</v>
      </c>
      <c r="D35" s="80" t="s">
        <v>11</v>
      </c>
      <c r="E35" s="88" t="s">
        <v>183</v>
      </c>
      <c r="F35" s="223" t="s">
        <v>43</v>
      </c>
      <c r="G35" s="224"/>
      <c r="H35" s="231"/>
      <c r="I35" s="235">
        <f t="shared" si="7"/>
        <v>1</v>
      </c>
      <c r="J35" s="236">
        <f t="shared" si="8"/>
        <v>0</v>
      </c>
      <c r="K35" s="250">
        <f t="shared" si="6"/>
        <v>0</v>
      </c>
      <c r="L35" s="20"/>
    </row>
    <row r="36" spans="2:12" ht="30" customHeight="1" x14ac:dyDescent="0.25">
      <c r="B36" s="78" t="str">
        <f t="shared" si="0"/>
        <v>IAlphaP</v>
      </c>
      <c r="C36" s="79">
        <f>IF(ISTEXT(D36),MAX($C$7:$C35)+1,"")</f>
        <v>30</v>
      </c>
      <c r="D36" s="80" t="s">
        <v>11</v>
      </c>
      <c r="E36" s="88" t="s">
        <v>184</v>
      </c>
      <c r="F36" s="223" t="s">
        <v>43</v>
      </c>
      <c r="G36" s="224"/>
      <c r="H36" s="231"/>
      <c r="I36" s="235">
        <f t="shared" si="7"/>
        <v>1</v>
      </c>
      <c r="J36" s="236">
        <f t="shared" si="8"/>
        <v>0</v>
      </c>
      <c r="K36" s="250">
        <f t="shared" si="6"/>
        <v>0</v>
      </c>
      <c r="L36" s="20"/>
    </row>
    <row r="37" spans="2:12" ht="30" customHeight="1" x14ac:dyDescent="0.25">
      <c r="B37" s="78" t="str">
        <f t="shared" si="0"/>
        <v>IAlphaP</v>
      </c>
      <c r="C37" s="79">
        <f>IF(ISTEXT(D37),MAX($C$7:$C36)+1,"")</f>
        <v>31</v>
      </c>
      <c r="D37" s="80" t="s">
        <v>10</v>
      </c>
      <c r="E37" s="88" t="s">
        <v>185</v>
      </c>
      <c r="F37" s="223" t="s">
        <v>43</v>
      </c>
      <c r="G37" s="224"/>
      <c r="H37" s="231"/>
      <c r="I37" s="235">
        <f t="shared" ref="I37:I42" si="9">VLOOKUP($D37,SpecData,2,FALSE)</f>
        <v>2</v>
      </c>
      <c r="J37" s="236">
        <f t="shared" ref="J37:J42" si="10">VLOOKUP($F37,AvailabilityData,2,FALSE)</f>
        <v>0</v>
      </c>
      <c r="K37" s="250">
        <f>I37*J37</f>
        <v>0</v>
      </c>
      <c r="L37" s="20"/>
    </row>
    <row r="38" spans="2:12" ht="30" customHeight="1" x14ac:dyDescent="0.25">
      <c r="B38" s="78" t="str">
        <f t="shared" si="0"/>
        <v>IAlphaP</v>
      </c>
      <c r="C38" s="79">
        <f>IF(ISTEXT(D38),MAX($C$7:$C37)+1,"")</f>
        <v>32</v>
      </c>
      <c r="D38" s="80" t="s">
        <v>11</v>
      </c>
      <c r="E38" s="88" t="s">
        <v>186</v>
      </c>
      <c r="F38" s="223" t="s">
        <v>43</v>
      </c>
      <c r="G38" s="224"/>
      <c r="H38" s="231"/>
      <c r="I38" s="235">
        <f t="shared" si="9"/>
        <v>1</v>
      </c>
      <c r="J38" s="236">
        <f t="shared" si="10"/>
        <v>0</v>
      </c>
      <c r="K38" s="250">
        <f t="shared" ref="K38:K42" si="11">I38*J38</f>
        <v>0</v>
      </c>
      <c r="L38" s="20"/>
    </row>
    <row r="39" spans="2:12" ht="30" customHeight="1" x14ac:dyDescent="0.25">
      <c r="B39" s="78" t="str">
        <f t="shared" si="0"/>
        <v>IAlphaP</v>
      </c>
      <c r="C39" s="79">
        <f>IF(ISTEXT(D39),MAX($C$7:$C38)+1,"")</f>
        <v>33</v>
      </c>
      <c r="D39" s="80" t="s">
        <v>11</v>
      </c>
      <c r="E39" s="88" t="s">
        <v>187</v>
      </c>
      <c r="F39" s="223" t="s">
        <v>43</v>
      </c>
      <c r="G39" s="224"/>
      <c r="H39" s="231"/>
      <c r="I39" s="235">
        <f t="shared" si="9"/>
        <v>1</v>
      </c>
      <c r="J39" s="236">
        <f t="shared" si="10"/>
        <v>0</v>
      </c>
      <c r="K39" s="250">
        <f t="shared" si="11"/>
        <v>0</v>
      </c>
      <c r="L39" s="20"/>
    </row>
    <row r="40" spans="2:12" ht="30" customHeight="1" x14ac:dyDescent="0.25">
      <c r="B40" s="78" t="str">
        <f t="shared" si="0"/>
        <v>IAlphaP</v>
      </c>
      <c r="C40" s="79">
        <f>IF(ISTEXT(D40),MAX($C$7:$C39)+1,"")</f>
        <v>34</v>
      </c>
      <c r="D40" s="80" t="s">
        <v>10</v>
      </c>
      <c r="E40" s="88" t="s">
        <v>188</v>
      </c>
      <c r="F40" s="223" t="s">
        <v>43</v>
      </c>
      <c r="G40" s="224"/>
      <c r="H40" s="231"/>
      <c r="I40" s="235">
        <f t="shared" si="9"/>
        <v>2</v>
      </c>
      <c r="J40" s="236">
        <f t="shared" si="10"/>
        <v>0</v>
      </c>
      <c r="K40" s="250">
        <f t="shared" si="11"/>
        <v>0</v>
      </c>
      <c r="L40" s="20"/>
    </row>
    <row r="41" spans="2:12" ht="30" customHeight="1" x14ac:dyDescent="0.25">
      <c r="B41" s="78" t="str">
        <f t="shared" si="0"/>
        <v>IAlphaP</v>
      </c>
      <c r="C41" s="79">
        <f>IF(ISTEXT(D41),MAX($C$7:$C40)+1,"")</f>
        <v>35</v>
      </c>
      <c r="D41" s="80" t="s">
        <v>10</v>
      </c>
      <c r="E41" s="88" t="s">
        <v>189</v>
      </c>
      <c r="F41" s="223" t="s">
        <v>43</v>
      </c>
      <c r="G41" s="224"/>
      <c r="H41" s="231"/>
      <c r="I41" s="235">
        <f t="shared" si="9"/>
        <v>2</v>
      </c>
      <c r="J41" s="236">
        <f t="shared" si="10"/>
        <v>0</v>
      </c>
      <c r="K41" s="250">
        <f t="shared" si="11"/>
        <v>0</v>
      </c>
      <c r="L41" s="20"/>
    </row>
    <row r="42" spans="2:12" ht="30" customHeight="1" x14ac:dyDescent="0.25">
      <c r="B42" s="78" t="str">
        <f t="shared" si="0"/>
        <v>IAlphaP</v>
      </c>
      <c r="C42" s="79">
        <f>IF(ISTEXT(D42),MAX($C$7:$C41)+1,"")</f>
        <v>36</v>
      </c>
      <c r="D42" s="80" t="s">
        <v>11</v>
      </c>
      <c r="E42" s="88" t="s">
        <v>190</v>
      </c>
      <c r="F42" s="223" t="s">
        <v>43</v>
      </c>
      <c r="G42" s="224"/>
      <c r="H42" s="231"/>
      <c r="I42" s="235">
        <f t="shared" si="9"/>
        <v>1</v>
      </c>
      <c r="J42" s="236">
        <f t="shared" si="10"/>
        <v>0</v>
      </c>
      <c r="K42" s="250">
        <f t="shared" si="11"/>
        <v>0</v>
      </c>
      <c r="L42" s="21"/>
    </row>
    <row r="43" spans="2:12" ht="30" customHeight="1" x14ac:dyDescent="0.25">
      <c r="B43" s="78" t="str">
        <f t="shared" si="0"/>
        <v>IAlphaP</v>
      </c>
      <c r="C43" s="79">
        <f>IF(ISTEXT(D43),MAX($C$7:$C42)+1,"")</f>
        <v>37</v>
      </c>
      <c r="D43" s="80" t="s">
        <v>10</v>
      </c>
      <c r="E43" s="88" t="s">
        <v>191</v>
      </c>
      <c r="F43" s="223" t="s">
        <v>43</v>
      </c>
      <c r="G43" s="224"/>
      <c r="H43" s="231"/>
      <c r="I43" s="235">
        <f t="shared" ref="I43:I53" si="12">VLOOKUP($D43,SpecData,2,FALSE)</f>
        <v>2</v>
      </c>
      <c r="J43" s="236">
        <f t="shared" ref="J43:J53" si="13">VLOOKUP($F43,AvailabilityData,2,FALSE)</f>
        <v>0</v>
      </c>
      <c r="K43" s="250">
        <f>I43*J43</f>
        <v>0</v>
      </c>
      <c r="L43" s="20"/>
    </row>
    <row r="44" spans="2:12" ht="45.75" customHeight="1" x14ac:dyDescent="0.25">
      <c r="B44" s="78" t="str">
        <f t="shared" si="0"/>
        <v>IAlphaP</v>
      </c>
      <c r="C44" s="79">
        <f>IF(ISTEXT(D44),MAX($C$7:$C43)+1,"")</f>
        <v>38</v>
      </c>
      <c r="D44" s="80" t="s">
        <v>10</v>
      </c>
      <c r="E44" s="88" t="s">
        <v>192</v>
      </c>
      <c r="F44" s="223" t="s">
        <v>43</v>
      </c>
      <c r="G44" s="224"/>
      <c r="H44" s="231"/>
      <c r="I44" s="235">
        <f t="shared" si="12"/>
        <v>2</v>
      </c>
      <c r="J44" s="236">
        <f t="shared" si="13"/>
        <v>0</v>
      </c>
      <c r="K44" s="250">
        <f t="shared" ref="K44:K47" si="14">I44*J44</f>
        <v>0</v>
      </c>
      <c r="L44" s="20"/>
    </row>
    <row r="45" spans="2:12" ht="30" customHeight="1" x14ac:dyDescent="0.25">
      <c r="B45" s="78" t="str">
        <f t="shared" si="0"/>
        <v>IAlphaP</v>
      </c>
      <c r="C45" s="79">
        <f>IF(ISTEXT(D45),MAX($C$7:$C44)+1,"")</f>
        <v>39</v>
      </c>
      <c r="D45" s="80" t="s">
        <v>11</v>
      </c>
      <c r="E45" s="88" t="s">
        <v>193</v>
      </c>
      <c r="F45" s="223" t="s">
        <v>43</v>
      </c>
      <c r="G45" s="224"/>
      <c r="H45" s="231"/>
      <c r="I45" s="235">
        <f t="shared" si="12"/>
        <v>1</v>
      </c>
      <c r="J45" s="236">
        <f t="shared" si="13"/>
        <v>0</v>
      </c>
      <c r="K45" s="250">
        <f t="shared" si="14"/>
        <v>0</v>
      </c>
      <c r="L45" s="20"/>
    </row>
    <row r="46" spans="2:12" ht="30" customHeight="1" x14ac:dyDescent="0.25">
      <c r="B46" s="78" t="str">
        <f t="shared" si="0"/>
        <v>IAlphaP</v>
      </c>
      <c r="C46" s="79">
        <f>IF(ISTEXT(D46),MAX($C$7:$C45)+1,"")</f>
        <v>40</v>
      </c>
      <c r="D46" s="80" t="s">
        <v>11</v>
      </c>
      <c r="E46" s="88" t="s">
        <v>194</v>
      </c>
      <c r="F46" s="223" t="s">
        <v>43</v>
      </c>
      <c r="G46" s="224"/>
      <c r="H46" s="231"/>
      <c r="I46" s="235">
        <f t="shared" si="12"/>
        <v>1</v>
      </c>
      <c r="J46" s="236">
        <f t="shared" si="13"/>
        <v>0</v>
      </c>
      <c r="K46" s="250">
        <f t="shared" si="14"/>
        <v>0</v>
      </c>
      <c r="L46" s="20"/>
    </row>
    <row r="47" spans="2:12" ht="30" customHeight="1" x14ac:dyDescent="0.25">
      <c r="B47" s="78" t="str">
        <f t="shared" si="0"/>
        <v>IAlphaP</v>
      </c>
      <c r="C47" s="79">
        <f>IF(ISTEXT(D47),MAX($C$7:$C46)+1,"")</f>
        <v>41</v>
      </c>
      <c r="D47" s="80" t="s">
        <v>10</v>
      </c>
      <c r="E47" s="88" t="s">
        <v>195</v>
      </c>
      <c r="F47" s="223" t="s">
        <v>43</v>
      </c>
      <c r="G47" s="224"/>
      <c r="H47" s="231"/>
      <c r="I47" s="235">
        <f t="shared" si="12"/>
        <v>2</v>
      </c>
      <c r="J47" s="236">
        <f t="shared" si="13"/>
        <v>0</v>
      </c>
      <c r="K47" s="250">
        <f t="shared" si="14"/>
        <v>0</v>
      </c>
      <c r="L47" s="20"/>
    </row>
    <row r="48" spans="2:12" ht="30" customHeight="1" x14ac:dyDescent="0.25">
      <c r="B48" s="78" t="str">
        <f t="shared" si="0"/>
        <v>IAlphaP</v>
      </c>
      <c r="C48" s="79">
        <f>IF(ISTEXT(D48),MAX($C$7:$C47)+1,"")</f>
        <v>42</v>
      </c>
      <c r="D48" s="80" t="s">
        <v>10</v>
      </c>
      <c r="E48" s="88" t="s">
        <v>196</v>
      </c>
      <c r="F48" s="223" t="s">
        <v>43</v>
      </c>
      <c r="G48" s="233"/>
      <c r="H48" s="255"/>
      <c r="I48" s="226">
        <f t="shared" si="12"/>
        <v>2</v>
      </c>
      <c r="J48" s="227">
        <f t="shared" si="13"/>
        <v>0</v>
      </c>
      <c r="K48" s="228">
        <f>I48*J48</f>
        <v>0</v>
      </c>
      <c r="L48" s="20"/>
    </row>
    <row r="49" spans="2:12" ht="30" customHeight="1" x14ac:dyDescent="0.25">
      <c r="B49" s="78" t="str">
        <f t="shared" si="0"/>
        <v>IAlphaP</v>
      </c>
      <c r="C49" s="79">
        <f>IF(ISTEXT(D49),MAX($C$7:$C48)+1,"")</f>
        <v>43</v>
      </c>
      <c r="D49" s="80" t="s">
        <v>10</v>
      </c>
      <c r="E49" s="88" t="s">
        <v>522</v>
      </c>
      <c r="F49" s="223" t="s">
        <v>43</v>
      </c>
      <c r="G49" s="224"/>
      <c r="H49" s="231"/>
      <c r="I49" s="235">
        <f t="shared" si="12"/>
        <v>2</v>
      </c>
      <c r="J49" s="236">
        <f t="shared" si="13"/>
        <v>0</v>
      </c>
      <c r="K49" s="250">
        <f t="shared" ref="K49:K53" si="15">I49*J49</f>
        <v>0</v>
      </c>
      <c r="L49" s="20"/>
    </row>
    <row r="50" spans="2:12" ht="30" customHeight="1" x14ac:dyDescent="0.25">
      <c r="B50" s="78" t="str">
        <f t="shared" si="0"/>
        <v>IAlphaP</v>
      </c>
      <c r="C50" s="79">
        <f>IF(ISTEXT(D50),MAX($C$7:$C49)+1,"")</f>
        <v>44</v>
      </c>
      <c r="D50" s="80" t="s">
        <v>10</v>
      </c>
      <c r="E50" s="88" t="s">
        <v>523</v>
      </c>
      <c r="F50" s="223" t="s">
        <v>43</v>
      </c>
      <c r="G50" s="224"/>
      <c r="H50" s="231"/>
      <c r="I50" s="235">
        <f t="shared" si="12"/>
        <v>2</v>
      </c>
      <c r="J50" s="236">
        <f t="shared" si="13"/>
        <v>0</v>
      </c>
      <c r="K50" s="250">
        <f t="shared" si="15"/>
        <v>0</v>
      </c>
      <c r="L50" s="20"/>
    </row>
    <row r="51" spans="2:12" ht="30" customHeight="1" x14ac:dyDescent="0.25">
      <c r="B51" s="78" t="str">
        <f t="shared" si="0"/>
        <v>IAlphaP</v>
      </c>
      <c r="C51" s="79">
        <f>IF(ISTEXT(D51),MAX($C$7:$C50)+1,"")</f>
        <v>45</v>
      </c>
      <c r="D51" s="80" t="s">
        <v>11</v>
      </c>
      <c r="E51" s="88" t="s">
        <v>197</v>
      </c>
      <c r="F51" s="223" t="s">
        <v>43</v>
      </c>
      <c r="G51" s="224"/>
      <c r="H51" s="231"/>
      <c r="I51" s="235">
        <f t="shared" si="12"/>
        <v>1</v>
      </c>
      <c r="J51" s="236">
        <f t="shared" si="13"/>
        <v>0</v>
      </c>
      <c r="K51" s="250">
        <f t="shared" si="15"/>
        <v>0</v>
      </c>
      <c r="L51" s="20"/>
    </row>
    <row r="52" spans="2:12" ht="30" customHeight="1" x14ac:dyDescent="0.25">
      <c r="B52" s="78" t="str">
        <f t="shared" si="0"/>
        <v>IAlphaP</v>
      </c>
      <c r="C52" s="79">
        <f>IF(ISTEXT(D52),MAX($C$7:$C51)+1,"")</f>
        <v>46</v>
      </c>
      <c r="D52" s="80" t="s">
        <v>10</v>
      </c>
      <c r="E52" s="88" t="s">
        <v>198</v>
      </c>
      <c r="F52" s="223" t="s">
        <v>43</v>
      </c>
      <c r="G52" s="224"/>
      <c r="H52" s="231"/>
      <c r="I52" s="235">
        <f t="shared" si="12"/>
        <v>2</v>
      </c>
      <c r="J52" s="236">
        <f t="shared" si="13"/>
        <v>0</v>
      </c>
      <c r="K52" s="250">
        <f t="shared" si="15"/>
        <v>0</v>
      </c>
      <c r="L52" s="20"/>
    </row>
    <row r="53" spans="2:12" ht="30" customHeight="1" x14ac:dyDescent="0.25">
      <c r="B53" s="152" t="str">
        <f t="shared" si="0"/>
        <v>IAlphaP</v>
      </c>
      <c r="C53" s="153">
        <f>IF(ISTEXT(D53),MAX($C$7:$C52)+1,"")</f>
        <v>47</v>
      </c>
      <c r="D53" s="80" t="s">
        <v>10</v>
      </c>
      <c r="E53" s="81" t="s">
        <v>199</v>
      </c>
      <c r="F53" s="223" t="s">
        <v>43</v>
      </c>
      <c r="G53" s="241"/>
      <c r="H53" s="242"/>
      <c r="I53" s="238">
        <f t="shared" si="12"/>
        <v>2</v>
      </c>
      <c r="J53" s="239">
        <f t="shared" si="13"/>
        <v>0</v>
      </c>
      <c r="K53" s="254">
        <f t="shared" si="15"/>
        <v>0</v>
      </c>
      <c r="L53" s="21"/>
    </row>
    <row r="54" spans="2:12" ht="6.75" customHeight="1" x14ac:dyDescent="0.25"/>
  </sheetData>
  <sheetProtection algorithmName="SHA-512" hashValue="p9BUbSp8zg/XbRBZSo5cpqD1LC+1Y2/yLpBIVLhMrZnAEf8H5eLaXs6UiB2MB8X9Mcg7FcHxnGh5dMiHoDVsFw==" saltValue="sY9xxoE1eOJZcTUZkedY9A==" spinCount="100000" sheet="1" selectLockedCells="1"/>
  <phoneticPr fontId="43" type="noConversion"/>
  <conditionalFormatting sqref="D4:D5">
    <cfRule type="cellIs" dxfId="182" priority="58" operator="equal">
      <formula>"Important"</formula>
    </cfRule>
    <cfRule type="cellIs" dxfId="181" priority="59" operator="equal">
      <formula>"Crucial"</formula>
    </cfRule>
    <cfRule type="cellIs" dxfId="180" priority="60" operator="equal">
      <formula>"N/A"</formula>
    </cfRule>
  </conditionalFormatting>
  <conditionalFormatting sqref="D7:D14">
    <cfRule type="cellIs" dxfId="179" priority="13" operator="equal">
      <formula>"Important"</formula>
    </cfRule>
    <cfRule type="cellIs" dxfId="178" priority="14" operator="equal">
      <formula>"Crucial"</formula>
    </cfRule>
    <cfRule type="cellIs" dxfId="177" priority="15" operator="equal">
      <formula>"N/A"</formula>
    </cfRule>
  </conditionalFormatting>
  <conditionalFormatting sqref="D16:D25">
    <cfRule type="cellIs" dxfId="176" priority="10" operator="equal">
      <formula>"Important"</formula>
    </cfRule>
    <cfRule type="cellIs" dxfId="175" priority="11" operator="equal">
      <formula>"Crucial"</formula>
    </cfRule>
    <cfRule type="cellIs" dxfId="174" priority="12" operator="equal">
      <formula>"N/A"</formula>
    </cfRule>
  </conditionalFormatting>
  <conditionalFormatting sqref="D27:D53">
    <cfRule type="cellIs" dxfId="173" priority="1" operator="equal">
      <formula>"Important"</formula>
    </cfRule>
    <cfRule type="cellIs" dxfId="172" priority="2" operator="equal">
      <formula>"Crucial"</formula>
    </cfRule>
    <cfRule type="cellIs" dxfId="171" priority="3" operator="equal">
      <formula>"N/A"</formula>
    </cfRule>
  </conditionalFormatting>
  <conditionalFormatting sqref="F4:F5">
    <cfRule type="cellIs" dxfId="170" priority="70" operator="equal">
      <formula>"Function Not Available"</formula>
    </cfRule>
    <cfRule type="cellIs" dxfId="169" priority="71" operator="equal">
      <formula>"Function Available"</formula>
    </cfRule>
    <cfRule type="cellIs" dxfId="168" priority="72" operator="equal">
      <formula>"Exception"</formula>
    </cfRule>
  </conditionalFormatting>
  <conditionalFormatting sqref="F7:F14">
    <cfRule type="cellIs" dxfId="167" priority="67" operator="equal">
      <formula>"Function Not Available"</formula>
    </cfRule>
    <cfRule type="cellIs" dxfId="166" priority="68" operator="equal">
      <formula>"Function Available"</formula>
    </cfRule>
    <cfRule type="cellIs" dxfId="165" priority="69" operator="equal">
      <formula>"Exception"</formula>
    </cfRule>
  </conditionalFormatting>
  <conditionalFormatting sqref="F16:F25">
    <cfRule type="cellIs" dxfId="164" priority="64" operator="equal">
      <formula>"Function Not Available"</formula>
    </cfRule>
    <cfRule type="cellIs" dxfId="163" priority="65" operator="equal">
      <formula>"Function Available"</formula>
    </cfRule>
    <cfRule type="cellIs" dxfId="162" priority="66" operator="equal">
      <formula>"Exception"</formula>
    </cfRule>
  </conditionalFormatting>
  <conditionalFormatting sqref="F27:F53">
    <cfRule type="cellIs" dxfId="161" priority="61" operator="equal">
      <formula>"Function Not Available"</formula>
    </cfRule>
    <cfRule type="cellIs" dxfId="160" priority="62" operator="equal">
      <formula>"Function Available"</formula>
    </cfRule>
    <cfRule type="cellIs" dxfId="159" priority="63" operator="equal">
      <formula>"Exception"</formula>
    </cfRule>
  </conditionalFormatting>
  <dataValidations count="3">
    <dataValidation type="list" allowBlank="1" showInputMessage="1" showErrorMessage="1" sqref="F4:F5 F7" xr:uid="{00000000-0002-0000-0600-000000000000}">
      <formula1>AvailabilityType</formula1>
    </dataValidation>
    <dataValidation type="list" allowBlank="1" showInputMessage="1" showErrorMessage="1" sqref="D4:D5 D16:D25 D7:D14 D27:D53" xr:uid="{00000000-0002-0000-0600-000001000000}">
      <formula1>SpecType</formula1>
    </dataValidation>
    <dataValidation type="list" allowBlank="1" showInputMessage="1" showErrorMessage="1" errorTitle="Invalid specification type" error="Please enter a Specification type from the drop-down list." sqref="F8:F14 F16:F25 F27:F53" xr:uid="{00000000-0002-0000-0600-000002000000}">
      <formula1>AvailabilityType</formula1>
    </dataValidation>
  </dataValidations>
  <pageMargins left="0.7" right="0.7" top="0.75" bottom="0.75" header="0.3" footer="0.3"/>
  <pageSetup scale="47" fitToHeight="0" orientation="portrait" r:id="rId1"/>
  <headerFooter>
    <oddHeader>&amp;CGCCDA
&amp;F&amp;R&amp;A</oddHeader>
    <oddFooter>&amp;LTSSI Consulting LLC, March 2026&amp;CPage &amp;P of &amp;N</oddFooter>
  </headerFooter>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FFCC00"/>
    <pageSetUpPr fitToPage="1"/>
  </sheetPr>
  <dimension ref="A1:M33"/>
  <sheetViews>
    <sheetView showGridLines="0" zoomScale="80" zoomScaleNormal="80" zoomScalePageLayoutView="40" workbookViewId="0">
      <selection activeCell="F4" sqref="F4"/>
    </sheetView>
  </sheetViews>
  <sheetFormatPr defaultColWidth="0" defaultRowHeight="15" zeroHeight="1" x14ac:dyDescent="0.25"/>
  <cols>
    <col min="1" max="1" width="0.7109375" customWidth="1"/>
    <col min="2" max="2" width="11.7109375" customWidth="1"/>
    <col min="3" max="3" width="11.42578125" customWidth="1"/>
    <col min="4" max="4" width="23.28515625" customWidth="1"/>
    <col min="5" max="5" width="65.7109375" style="63" customWidth="1"/>
    <col min="6" max="6" width="28.7109375" customWidth="1"/>
    <col min="7" max="7" width="15.42578125" style="64" hidden="1" customWidth="1"/>
    <col min="8" max="11" width="12.7109375" hidden="1" customWidth="1"/>
    <col min="12" max="12" width="49.42578125" customWidth="1"/>
    <col min="13" max="13" width="2" customWidth="1"/>
    <col min="14" max="16384" width="9.28515625" hidden="1"/>
  </cols>
  <sheetData>
    <row r="1" spans="2:12" ht="5.65" customHeight="1" x14ac:dyDescent="0.25"/>
    <row r="2" spans="2:12" s="71" customFormat="1" ht="129" customHeight="1" thickBot="1" x14ac:dyDescent="0.25">
      <c r="B2" s="65" t="s">
        <v>44</v>
      </c>
      <c r="C2" s="66" t="s">
        <v>45</v>
      </c>
      <c r="D2" s="66" t="s">
        <v>46</v>
      </c>
      <c r="E2" s="66" t="s">
        <v>200</v>
      </c>
      <c r="F2" s="66" t="s">
        <v>42</v>
      </c>
      <c r="G2" s="67" t="s">
        <v>48</v>
      </c>
      <c r="H2" s="67" t="s">
        <v>49</v>
      </c>
      <c r="I2" s="68" t="s">
        <v>50</v>
      </c>
      <c r="J2" s="68" t="s">
        <v>51</v>
      </c>
      <c r="K2" s="69" t="s">
        <v>14</v>
      </c>
      <c r="L2" s="70" t="s">
        <v>52</v>
      </c>
    </row>
    <row r="3" spans="2:12" ht="16.5" thickBot="1" x14ac:dyDescent="0.3">
      <c r="B3" s="72" t="s">
        <v>201</v>
      </c>
      <c r="C3" s="72"/>
      <c r="D3" s="72"/>
      <c r="E3" s="72"/>
      <c r="F3" s="72"/>
      <c r="G3" s="73" t="s">
        <v>54</v>
      </c>
      <c r="H3" s="74">
        <f>COUNTA(D4:D501)</f>
        <v>28</v>
      </c>
      <c r="I3" s="75"/>
      <c r="J3" s="76" t="s">
        <v>55</v>
      </c>
      <c r="K3" s="77">
        <f>SUM(K4:K501)</f>
        <v>0</v>
      </c>
      <c r="L3" s="72"/>
    </row>
    <row r="4" spans="2:12" ht="30" customHeight="1" x14ac:dyDescent="0.25">
      <c r="B4" s="78" t="s">
        <v>202</v>
      </c>
      <c r="C4" s="79">
        <v>1</v>
      </c>
      <c r="D4" s="80" t="s">
        <v>9</v>
      </c>
      <c r="E4" s="89" t="s">
        <v>203</v>
      </c>
      <c r="F4" s="223" t="s">
        <v>43</v>
      </c>
      <c r="G4" s="224" t="s">
        <v>57</v>
      </c>
      <c r="H4" s="225">
        <f>COUNTIF(F4:F501,"Select from Drop Down")</f>
        <v>28</v>
      </c>
      <c r="I4" s="226">
        <f>VLOOKUP($D4,SpecData,2,FALSE)</f>
        <v>3</v>
      </c>
      <c r="J4" s="227">
        <f>VLOOKUP($F4,AvailabilityData,2,FALSE)</f>
        <v>0</v>
      </c>
      <c r="K4" s="228">
        <f>I4*J4</f>
        <v>0</v>
      </c>
      <c r="L4" s="20"/>
    </row>
    <row r="5" spans="2:12" ht="30" customHeight="1" x14ac:dyDescent="0.25">
      <c r="B5" s="78" t="str">
        <f>IF(C5="","",$B$4)</f>
        <v>IAVL</v>
      </c>
      <c r="C5" s="79">
        <v>2</v>
      </c>
      <c r="D5" s="80" t="s">
        <v>9</v>
      </c>
      <c r="E5" s="89" t="s">
        <v>204</v>
      </c>
      <c r="F5" s="223" t="s">
        <v>43</v>
      </c>
      <c r="G5" s="224" t="s">
        <v>59</v>
      </c>
      <c r="H5" s="225">
        <f>COUNTIF(F4:F501,"Function Available")</f>
        <v>0</v>
      </c>
      <c r="I5" s="226">
        <f>VLOOKUP($D5,SpecData,2,FALSE)</f>
        <v>3</v>
      </c>
      <c r="J5" s="227">
        <f>VLOOKUP($F5,AvailabilityData,2,FALSE)</f>
        <v>0</v>
      </c>
      <c r="K5" s="228">
        <f>I5*J5</f>
        <v>0</v>
      </c>
      <c r="L5" s="20"/>
    </row>
    <row r="6" spans="2:12" ht="30" customHeight="1" x14ac:dyDescent="0.25">
      <c r="B6" s="78" t="str">
        <f t="shared" ref="B6:B32" si="0">IF(C6="","",$B$4)</f>
        <v>IAVL</v>
      </c>
      <c r="C6" s="79">
        <v>3</v>
      </c>
      <c r="D6" s="80" t="s">
        <v>9</v>
      </c>
      <c r="E6" s="89" t="s">
        <v>205</v>
      </c>
      <c r="F6" s="223" t="s">
        <v>43</v>
      </c>
      <c r="G6" s="224" t="s">
        <v>61</v>
      </c>
      <c r="H6" s="231">
        <f>COUNTIF(F4:F501,"Function Not Available")</f>
        <v>0</v>
      </c>
      <c r="I6" s="226">
        <f t="shared" ref="I6:I12" si="1">VLOOKUP($D6,SpecData,2,FALSE)</f>
        <v>3</v>
      </c>
      <c r="J6" s="227">
        <f t="shared" ref="J6:J12" si="2">VLOOKUP($F6,AvailabilityData,2,FALSE)</f>
        <v>0</v>
      </c>
      <c r="K6" s="250">
        <f t="shared" ref="K6:K12" si="3">I6*J6</f>
        <v>0</v>
      </c>
      <c r="L6" s="20"/>
    </row>
    <row r="7" spans="2:12" ht="30" customHeight="1" x14ac:dyDescent="0.25">
      <c r="B7" s="78" t="str">
        <f t="shared" si="0"/>
        <v>IAVL</v>
      </c>
      <c r="C7" s="79">
        <f>IF(ISTEXT(D7),MAX($C$6:$C6)+1,"")</f>
        <v>4</v>
      </c>
      <c r="D7" s="80" t="s">
        <v>9</v>
      </c>
      <c r="E7" s="89" t="s">
        <v>206</v>
      </c>
      <c r="F7" s="223" t="s">
        <v>43</v>
      </c>
      <c r="G7" s="224" t="s">
        <v>63</v>
      </c>
      <c r="H7" s="231">
        <f>COUNTIF(F4:F501,"Exception")</f>
        <v>0</v>
      </c>
      <c r="I7" s="226">
        <f t="shared" si="1"/>
        <v>3</v>
      </c>
      <c r="J7" s="227">
        <f t="shared" si="2"/>
        <v>0</v>
      </c>
      <c r="K7" s="228">
        <f t="shared" si="3"/>
        <v>0</v>
      </c>
      <c r="L7" s="20"/>
    </row>
    <row r="8" spans="2:12" ht="30" customHeight="1" x14ac:dyDescent="0.25">
      <c r="B8" s="78" t="str">
        <f t="shared" si="0"/>
        <v>IAVL</v>
      </c>
      <c r="C8" s="79">
        <f>IF(ISTEXT(D8),MAX($C$6:$C7)+1,"")</f>
        <v>5</v>
      </c>
      <c r="D8" s="80" t="s">
        <v>9</v>
      </c>
      <c r="E8" s="89" t="s">
        <v>207</v>
      </c>
      <c r="F8" s="223" t="s">
        <v>43</v>
      </c>
      <c r="G8" s="224" t="s">
        <v>65</v>
      </c>
      <c r="H8" s="232">
        <f>COUNTIFS(D:D,"=Crucial",F:F,"=Select From Drop Down")</f>
        <v>8</v>
      </c>
      <c r="I8" s="226">
        <f t="shared" si="1"/>
        <v>3</v>
      </c>
      <c r="J8" s="227">
        <f t="shared" si="2"/>
        <v>0</v>
      </c>
      <c r="K8" s="250">
        <f t="shared" si="3"/>
        <v>0</v>
      </c>
      <c r="L8" s="20"/>
    </row>
    <row r="9" spans="2:12" ht="30" customHeight="1" x14ac:dyDescent="0.25">
      <c r="B9" s="78" t="str">
        <f t="shared" si="0"/>
        <v>IAVL</v>
      </c>
      <c r="C9" s="79">
        <f>IF(ISTEXT(D9),MAX($C$6:$C8)+1,"")</f>
        <v>6</v>
      </c>
      <c r="D9" s="80" t="s">
        <v>10</v>
      </c>
      <c r="E9" s="89" t="s">
        <v>208</v>
      </c>
      <c r="F9" s="223" t="s">
        <v>43</v>
      </c>
      <c r="G9" s="224" t="s">
        <v>67</v>
      </c>
      <c r="H9" s="232">
        <f>COUNTIFS(D:D,"=Crucial",F:F,"=Function Available")</f>
        <v>0</v>
      </c>
      <c r="I9" s="226">
        <f t="shared" si="1"/>
        <v>2</v>
      </c>
      <c r="J9" s="227">
        <f t="shared" si="2"/>
        <v>0</v>
      </c>
      <c r="K9" s="250">
        <f t="shared" si="3"/>
        <v>0</v>
      </c>
      <c r="L9" s="20"/>
    </row>
    <row r="10" spans="2:12" ht="30" customHeight="1" x14ac:dyDescent="0.25">
      <c r="B10" s="78" t="str">
        <f t="shared" si="0"/>
        <v>IAVL</v>
      </c>
      <c r="C10" s="79">
        <f>IF(ISTEXT(D10),MAX($C$6:$C9)+1,"")</f>
        <v>7</v>
      </c>
      <c r="D10" s="80" t="s">
        <v>10</v>
      </c>
      <c r="E10" s="89" t="s">
        <v>209</v>
      </c>
      <c r="F10" s="223" t="s">
        <v>43</v>
      </c>
      <c r="G10" s="224" t="s">
        <v>69</v>
      </c>
      <c r="H10" s="232">
        <f>COUNTIFS(D:D,"=Crucial",F:F,"=Function Not Available")</f>
        <v>0</v>
      </c>
      <c r="I10" s="226">
        <f t="shared" si="1"/>
        <v>2</v>
      </c>
      <c r="J10" s="227">
        <f t="shared" si="2"/>
        <v>0</v>
      </c>
      <c r="K10" s="250">
        <f t="shared" si="3"/>
        <v>0</v>
      </c>
      <c r="L10" s="20"/>
    </row>
    <row r="11" spans="2:12" ht="30" customHeight="1" x14ac:dyDescent="0.25">
      <c r="B11" s="78" t="str">
        <f t="shared" si="0"/>
        <v>IAVL</v>
      </c>
      <c r="C11" s="79">
        <f>IF(ISTEXT(D11),MAX($C$6:$C10)+1,"")</f>
        <v>8</v>
      </c>
      <c r="D11" s="80" t="s">
        <v>10</v>
      </c>
      <c r="E11" s="89" t="s">
        <v>210</v>
      </c>
      <c r="F11" s="223" t="s">
        <v>43</v>
      </c>
      <c r="G11" s="241" t="s">
        <v>70</v>
      </c>
      <c r="H11" s="251">
        <f>COUNTIFS(D:D,"=Crucial",F:F,"=Exception")</f>
        <v>0</v>
      </c>
      <c r="I11" s="252">
        <f t="shared" si="1"/>
        <v>2</v>
      </c>
      <c r="J11" s="253">
        <f t="shared" si="2"/>
        <v>0</v>
      </c>
      <c r="K11" s="254">
        <f t="shared" si="3"/>
        <v>0</v>
      </c>
      <c r="L11" s="20"/>
    </row>
    <row r="12" spans="2:12" ht="30" customHeight="1" x14ac:dyDescent="0.25">
      <c r="B12" s="78" t="str">
        <f t="shared" si="0"/>
        <v>IAVL</v>
      </c>
      <c r="C12" s="79">
        <f>IF(ISTEXT(D12),MAX($C$6:$C11)+1,"")</f>
        <v>9</v>
      </c>
      <c r="D12" s="80" t="s">
        <v>10</v>
      </c>
      <c r="E12" s="89" t="s">
        <v>211</v>
      </c>
      <c r="F12" s="223" t="s">
        <v>43</v>
      </c>
      <c r="G12" s="224" t="s">
        <v>72</v>
      </c>
      <c r="H12" s="231">
        <f>COUNTIFS(D:D,"=Important",F:F,"=Select From Drop Down")</f>
        <v>20</v>
      </c>
      <c r="I12" s="226">
        <f t="shared" si="1"/>
        <v>2</v>
      </c>
      <c r="J12" s="227">
        <f t="shared" si="2"/>
        <v>0</v>
      </c>
      <c r="K12" s="228">
        <f t="shared" si="3"/>
        <v>0</v>
      </c>
      <c r="L12" s="20"/>
    </row>
    <row r="13" spans="2:12" ht="44.25" customHeight="1" x14ac:dyDescent="0.25">
      <c r="B13" s="78" t="str">
        <f t="shared" si="0"/>
        <v>IAVL</v>
      </c>
      <c r="C13" s="79">
        <f>IF(ISTEXT(D13),MAX($C$6:$C12)+1,"")</f>
        <v>10</v>
      </c>
      <c r="D13" s="80" t="s">
        <v>10</v>
      </c>
      <c r="E13" s="89" t="s">
        <v>212</v>
      </c>
      <c r="F13" s="223" t="s">
        <v>43</v>
      </c>
      <c r="G13" s="224" t="s">
        <v>74</v>
      </c>
      <c r="H13" s="232">
        <f>COUNTIFS(D:D,"=Important",F:F,"=Function Available")</f>
        <v>0</v>
      </c>
      <c r="I13" s="226">
        <f t="shared" ref="I13:I25" si="4">VLOOKUP($D13,SpecData,2,FALSE)</f>
        <v>2</v>
      </c>
      <c r="J13" s="227">
        <f t="shared" ref="J13:J25" si="5">VLOOKUP($F13,AvailabilityData,2,FALSE)</f>
        <v>0</v>
      </c>
      <c r="K13" s="250">
        <f t="shared" ref="K13:K32" si="6">I13*J13</f>
        <v>0</v>
      </c>
      <c r="L13" s="20"/>
    </row>
    <row r="14" spans="2:12" ht="30" customHeight="1" x14ac:dyDescent="0.25">
      <c r="B14" s="78" t="str">
        <f t="shared" si="0"/>
        <v>IAVL</v>
      </c>
      <c r="C14" s="79">
        <f>IF(ISTEXT(D14),MAX($C$6:$C13)+1,"")</f>
        <v>11</v>
      </c>
      <c r="D14" s="80" t="s">
        <v>9</v>
      </c>
      <c r="E14" s="89" t="s">
        <v>213</v>
      </c>
      <c r="F14" s="223" t="s">
        <v>43</v>
      </c>
      <c r="G14" s="224" t="s">
        <v>76</v>
      </c>
      <c r="H14" s="232">
        <f>COUNTIFS(D:D,"=Important",F:F,"=Function Not Available")</f>
        <v>0</v>
      </c>
      <c r="I14" s="235">
        <f t="shared" si="4"/>
        <v>3</v>
      </c>
      <c r="J14" s="236">
        <f t="shared" si="5"/>
        <v>0</v>
      </c>
      <c r="K14" s="250">
        <f t="shared" si="6"/>
        <v>0</v>
      </c>
      <c r="L14" s="20"/>
    </row>
    <row r="15" spans="2:12" ht="30" customHeight="1" x14ac:dyDescent="0.25">
      <c r="B15" s="78" t="str">
        <f t="shared" si="0"/>
        <v>IAVL</v>
      </c>
      <c r="C15" s="79">
        <f>IF(ISTEXT(D15),MAX($C$6:$C14)+1,"")</f>
        <v>12</v>
      </c>
      <c r="D15" s="80" t="s">
        <v>9</v>
      </c>
      <c r="E15" s="89" t="s">
        <v>214</v>
      </c>
      <c r="F15" s="223" t="s">
        <v>43</v>
      </c>
      <c r="G15" s="224" t="s">
        <v>77</v>
      </c>
      <c r="H15" s="232">
        <f>COUNTIFS(D:D,"=Important",F:F,"=Exception")</f>
        <v>0</v>
      </c>
      <c r="I15" s="235">
        <f t="shared" si="4"/>
        <v>3</v>
      </c>
      <c r="J15" s="236">
        <f t="shared" si="5"/>
        <v>0</v>
      </c>
      <c r="K15" s="250">
        <f t="shared" si="6"/>
        <v>0</v>
      </c>
      <c r="L15" s="20"/>
    </row>
    <row r="16" spans="2:12" ht="30" customHeight="1" x14ac:dyDescent="0.25">
      <c r="B16" s="78" t="str">
        <f t="shared" si="0"/>
        <v>IAVL</v>
      </c>
      <c r="C16" s="79">
        <f>IF(ISTEXT(D16),MAX($C$6:$C15)+1,"")</f>
        <v>13</v>
      </c>
      <c r="D16" s="80" t="s">
        <v>10</v>
      </c>
      <c r="E16" s="89" t="s">
        <v>215</v>
      </c>
      <c r="F16" s="223" t="s">
        <v>43</v>
      </c>
      <c r="G16" s="224" t="s">
        <v>78</v>
      </c>
      <c r="H16" s="232">
        <f>COUNTIFS(D:D,"=Minimal",F:F,"=Select From Drop Down")</f>
        <v>0</v>
      </c>
      <c r="I16" s="235">
        <f t="shared" si="4"/>
        <v>2</v>
      </c>
      <c r="J16" s="236">
        <f t="shared" si="5"/>
        <v>0</v>
      </c>
      <c r="K16" s="250">
        <f t="shared" si="6"/>
        <v>0</v>
      </c>
      <c r="L16" s="20"/>
    </row>
    <row r="17" spans="2:12" ht="30" customHeight="1" x14ac:dyDescent="0.25">
      <c r="B17" s="78" t="str">
        <f t="shared" si="0"/>
        <v>IAVL</v>
      </c>
      <c r="C17" s="79">
        <f>IF(ISTEXT(D17),MAX($C$6:$C16)+1,"")</f>
        <v>14</v>
      </c>
      <c r="D17" s="80" t="s">
        <v>9</v>
      </c>
      <c r="E17" s="88" t="s">
        <v>216</v>
      </c>
      <c r="F17" s="223" t="s">
        <v>43</v>
      </c>
      <c r="G17" s="224" t="s">
        <v>80</v>
      </c>
      <c r="H17" s="232">
        <f>COUNTIFS(D:D,"=Minimal",F:F,"=Function Available")</f>
        <v>0</v>
      </c>
      <c r="I17" s="235">
        <f t="shared" si="4"/>
        <v>3</v>
      </c>
      <c r="J17" s="236">
        <f t="shared" si="5"/>
        <v>0</v>
      </c>
      <c r="K17" s="250">
        <f t="shared" si="6"/>
        <v>0</v>
      </c>
      <c r="L17" s="20"/>
    </row>
    <row r="18" spans="2:12" ht="30" customHeight="1" x14ac:dyDescent="0.25">
      <c r="B18" s="78" t="str">
        <f t="shared" si="0"/>
        <v>IAVL</v>
      </c>
      <c r="C18" s="79">
        <f>IF(ISTEXT(D18),MAX($C$6:$C17)+1,"")</f>
        <v>15</v>
      </c>
      <c r="D18" s="80" t="s">
        <v>10</v>
      </c>
      <c r="E18" s="89" t="s">
        <v>217</v>
      </c>
      <c r="F18" s="223" t="s">
        <v>43</v>
      </c>
      <c r="G18" s="224" t="s">
        <v>82</v>
      </c>
      <c r="H18" s="232">
        <f>COUNTIFS(D:D,"=Minimal",F:F,"=Function Not Available")</f>
        <v>0</v>
      </c>
      <c r="I18" s="235">
        <f t="shared" si="4"/>
        <v>2</v>
      </c>
      <c r="J18" s="236">
        <f t="shared" si="5"/>
        <v>0</v>
      </c>
      <c r="K18" s="250">
        <f t="shared" si="6"/>
        <v>0</v>
      </c>
      <c r="L18" s="20"/>
    </row>
    <row r="19" spans="2:12" ht="30" customHeight="1" x14ac:dyDescent="0.25">
      <c r="B19" s="78" t="str">
        <f t="shared" si="0"/>
        <v>IAVL</v>
      </c>
      <c r="C19" s="79">
        <f>IF(ISTEXT(D19),MAX($C$6:$C18)+1,"")</f>
        <v>16</v>
      </c>
      <c r="D19" s="80" t="s">
        <v>10</v>
      </c>
      <c r="E19" s="89" t="s">
        <v>218</v>
      </c>
      <c r="F19" s="223" t="s">
        <v>43</v>
      </c>
      <c r="G19" s="224" t="s">
        <v>83</v>
      </c>
      <c r="H19" s="232">
        <f>COUNTIFS(D:D,"=Minimal",F:F,"=Exception")</f>
        <v>0</v>
      </c>
      <c r="I19" s="235">
        <f t="shared" si="4"/>
        <v>2</v>
      </c>
      <c r="J19" s="236">
        <f t="shared" si="5"/>
        <v>0</v>
      </c>
      <c r="K19" s="250">
        <f t="shared" si="6"/>
        <v>0</v>
      </c>
      <c r="L19" s="20"/>
    </row>
    <row r="20" spans="2:12" ht="30" customHeight="1" x14ac:dyDescent="0.25">
      <c r="B20" s="78" t="str">
        <f t="shared" si="0"/>
        <v>IAVL</v>
      </c>
      <c r="C20" s="79">
        <f>IF(ISTEXT(D20),MAX($C$6:$C19)+1,"")</f>
        <v>17</v>
      </c>
      <c r="D20" s="80" t="s">
        <v>10</v>
      </c>
      <c r="E20" s="154" t="s">
        <v>219</v>
      </c>
      <c r="F20" s="223" t="s">
        <v>43</v>
      </c>
      <c r="G20" s="224"/>
      <c r="H20" s="231"/>
      <c r="I20" s="235">
        <f t="shared" si="4"/>
        <v>2</v>
      </c>
      <c r="J20" s="236">
        <f t="shared" si="5"/>
        <v>0</v>
      </c>
      <c r="K20" s="250">
        <f t="shared" si="6"/>
        <v>0</v>
      </c>
      <c r="L20" s="20"/>
    </row>
    <row r="21" spans="2:12" ht="30" customHeight="1" x14ac:dyDescent="0.25">
      <c r="B21" s="124" t="str">
        <f t="shared" si="0"/>
        <v/>
      </c>
      <c r="C21" s="125" t="str">
        <f>IF(ISTEXT(D21),MAX($C$6:$C20)+1,"")</f>
        <v/>
      </c>
      <c r="D21" s="126"/>
      <c r="E21" s="127" t="s">
        <v>220</v>
      </c>
      <c r="F21" s="128"/>
      <c r="G21" s="129"/>
      <c r="H21" s="129"/>
      <c r="I21" s="129"/>
      <c r="J21" s="129"/>
      <c r="K21" s="129"/>
      <c r="L21" s="129"/>
    </row>
    <row r="22" spans="2:12" ht="30" customHeight="1" x14ac:dyDescent="0.25">
      <c r="B22" s="78" t="str">
        <f t="shared" si="0"/>
        <v>IAVL</v>
      </c>
      <c r="C22" s="79">
        <f>IF(ISTEXT(D22),MAX($C$6:$C20)+1,"")</f>
        <v>18</v>
      </c>
      <c r="D22" s="80" t="s">
        <v>10</v>
      </c>
      <c r="E22" s="150" t="s">
        <v>221</v>
      </c>
      <c r="F22" s="223" t="s">
        <v>43</v>
      </c>
      <c r="G22" s="224"/>
      <c r="H22" s="231"/>
      <c r="I22" s="235">
        <f t="shared" si="4"/>
        <v>2</v>
      </c>
      <c r="J22" s="236">
        <f t="shared" si="5"/>
        <v>0</v>
      </c>
      <c r="K22" s="250">
        <f t="shared" si="6"/>
        <v>0</v>
      </c>
      <c r="L22" s="20"/>
    </row>
    <row r="23" spans="2:12" ht="30" customHeight="1" x14ac:dyDescent="0.25">
      <c r="B23" s="78" t="str">
        <f t="shared" si="0"/>
        <v>IAVL</v>
      </c>
      <c r="C23" s="79">
        <f>IF(ISTEXT(D23),MAX($C$6:$C22)+1,"")</f>
        <v>19</v>
      </c>
      <c r="D23" s="80" t="s">
        <v>10</v>
      </c>
      <c r="E23" s="151" t="s">
        <v>222</v>
      </c>
      <c r="F23" s="223" t="s">
        <v>43</v>
      </c>
      <c r="G23" s="224"/>
      <c r="H23" s="231"/>
      <c r="I23" s="235">
        <f t="shared" si="4"/>
        <v>2</v>
      </c>
      <c r="J23" s="236">
        <f t="shared" si="5"/>
        <v>0</v>
      </c>
      <c r="K23" s="250">
        <f t="shared" si="6"/>
        <v>0</v>
      </c>
      <c r="L23" s="20"/>
    </row>
    <row r="24" spans="2:12" ht="30" customHeight="1" x14ac:dyDescent="0.25">
      <c r="B24" s="78" t="str">
        <f t="shared" si="0"/>
        <v>IAVL</v>
      </c>
      <c r="C24" s="79">
        <f>IF(ISTEXT(D24),MAX($C$6:$C23)+1,"")</f>
        <v>20</v>
      </c>
      <c r="D24" s="80" t="s">
        <v>10</v>
      </c>
      <c r="E24" s="151" t="s">
        <v>555</v>
      </c>
      <c r="F24" s="223" t="s">
        <v>43</v>
      </c>
      <c r="G24" s="224"/>
      <c r="H24" s="231"/>
      <c r="I24" s="235">
        <f t="shared" si="4"/>
        <v>2</v>
      </c>
      <c r="J24" s="236">
        <f t="shared" si="5"/>
        <v>0</v>
      </c>
      <c r="K24" s="250">
        <f t="shared" si="6"/>
        <v>0</v>
      </c>
      <c r="L24" s="20"/>
    </row>
    <row r="25" spans="2:12" ht="30" customHeight="1" x14ac:dyDescent="0.25">
      <c r="B25" s="78" t="str">
        <f t="shared" si="0"/>
        <v>IAVL</v>
      </c>
      <c r="C25" s="79">
        <f>IF(ISTEXT(D25),MAX($C$6:$C24)+1,"")</f>
        <v>21</v>
      </c>
      <c r="D25" s="80" t="s">
        <v>10</v>
      </c>
      <c r="E25" s="151" t="s">
        <v>556</v>
      </c>
      <c r="F25" s="223" t="s">
        <v>43</v>
      </c>
      <c r="G25" s="241"/>
      <c r="H25" s="242"/>
      <c r="I25" s="238">
        <f t="shared" si="4"/>
        <v>2</v>
      </c>
      <c r="J25" s="239">
        <f t="shared" si="5"/>
        <v>0</v>
      </c>
      <c r="K25" s="254">
        <f t="shared" si="6"/>
        <v>0</v>
      </c>
      <c r="L25" s="20"/>
    </row>
    <row r="26" spans="2:12" ht="30" customHeight="1" x14ac:dyDescent="0.25">
      <c r="B26" s="78" t="str">
        <f t="shared" si="0"/>
        <v>IAVL</v>
      </c>
      <c r="C26" s="79">
        <f>IF(ISTEXT(D26),MAX($C$6:$C25)+1,"")</f>
        <v>22</v>
      </c>
      <c r="D26" s="80" t="s">
        <v>10</v>
      </c>
      <c r="E26" s="151" t="s">
        <v>557</v>
      </c>
      <c r="F26" s="223" t="s">
        <v>43</v>
      </c>
      <c r="G26" s="233"/>
      <c r="H26" s="255"/>
      <c r="I26" s="226">
        <f t="shared" ref="I26:I32" si="7">VLOOKUP($D26,SpecData,2,FALSE)</f>
        <v>2</v>
      </c>
      <c r="J26" s="227">
        <f t="shared" ref="J26:J32" si="8">VLOOKUP($F26,AvailabilityData,2,FALSE)</f>
        <v>0</v>
      </c>
      <c r="K26" s="228">
        <f t="shared" si="6"/>
        <v>0</v>
      </c>
      <c r="L26" s="20"/>
    </row>
    <row r="27" spans="2:12" ht="30" customHeight="1" x14ac:dyDescent="0.25">
      <c r="B27" s="78" t="str">
        <f t="shared" si="0"/>
        <v>IAVL</v>
      </c>
      <c r="C27" s="79">
        <f>IF(ISTEXT(D27),MAX($C$6:$C26)+1,"")</f>
        <v>23</v>
      </c>
      <c r="D27" s="80" t="s">
        <v>10</v>
      </c>
      <c r="E27" s="151" t="s">
        <v>558</v>
      </c>
      <c r="F27" s="223" t="s">
        <v>43</v>
      </c>
      <c r="G27" s="224"/>
      <c r="H27" s="231"/>
      <c r="I27" s="235">
        <f t="shared" si="7"/>
        <v>2</v>
      </c>
      <c r="J27" s="236">
        <f t="shared" si="8"/>
        <v>0</v>
      </c>
      <c r="K27" s="250">
        <f t="shared" si="6"/>
        <v>0</v>
      </c>
      <c r="L27" s="20"/>
    </row>
    <row r="28" spans="2:12" ht="30" customHeight="1" x14ac:dyDescent="0.25">
      <c r="B28" s="78" t="str">
        <f t="shared" si="0"/>
        <v>IAVL</v>
      </c>
      <c r="C28" s="79">
        <f>IF(ISTEXT(D28),MAX($C$6:$C27)+1,"")</f>
        <v>24</v>
      </c>
      <c r="D28" s="80" t="s">
        <v>10</v>
      </c>
      <c r="E28" s="151" t="s">
        <v>161</v>
      </c>
      <c r="F28" s="223" t="s">
        <v>43</v>
      </c>
      <c r="G28" s="241"/>
      <c r="H28" s="242"/>
      <c r="I28" s="238">
        <f t="shared" si="7"/>
        <v>2</v>
      </c>
      <c r="J28" s="239">
        <f t="shared" si="8"/>
        <v>0</v>
      </c>
      <c r="K28" s="254">
        <f t="shared" si="6"/>
        <v>0</v>
      </c>
      <c r="L28" s="20"/>
    </row>
    <row r="29" spans="2:12" ht="30" customHeight="1" x14ac:dyDescent="0.25">
      <c r="B29" s="78" t="str">
        <f t="shared" si="0"/>
        <v>IAVL</v>
      </c>
      <c r="C29" s="79">
        <f>IF(ISTEXT(D29),MAX($C$6:$C28)+1,"")</f>
        <v>25</v>
      </c>
      <c r="D29" s="80" t="s">
        <v>10</v>
      </c>
      <c r="E29" s="151" t="s">
        <v>559</v>
      </c>
      <c r="F29" s="223" t="s">
        <v>43</v>
      </c>
      <c r="G29" s="233"/>
      <c r="H29" s="255"/>
      <c r="I29" s="226">
        <f t="shared" si="7"/>
        <v>2</v>
      </c>
      <c r="J29" s="227">
        <f t="shared" si="8"/>
        <v>0</v>
      </c>
      <c r="K29" s="228">
        <f t="shared" si="6"/>
        <v>0</v>
      </c>
      <c r="L29" s="20"/>
    </row>
    <row r="30" spans="2:12" ht="30" customHeight="1" x14ac:dyDescent="0.25">
      <c r="B30" s="78" t="str">
        <f t="shared" si="0"/>
        <v>IAVL</v>
      </c>
      <c r="C30" s="79">
        <f>IF(ISTEXT(D30),MAX($C$6:$C29)+1,"")</f>
        <v>26</v>
      </c>
      <c r="D30" s="80" t="s">
        <v>10</v>
      </c>
      <c r="E30" s="88" t="s">
        <v>223</v>
      </c>
      <c r="F30" s="223" t="s">
        <v>43</v>
      </c>
      <c r="G30" s="224"/>
      <c r="H30" s="231"/>
      <c r="I30" s="235">
        <f t="shared" si="7"/>
        <v>2</v>
      </c>
      <c r="J30" s="236">
        <f t="shared" si="8"/>
        <v>0</v>
      </c>
      <c r="K30" s="250">
        <f t="shared" si="6"/>
        <v>0</v>
      </c>
      <c r="L30" s="20"/>
    </row>
    <row r="31" spans="2:12" ht="42.75" x14ac:dyDescent="0.25">
      <c r="B31" s="78" t="str">
        <f t="shared" si="0"/>
        <v>IAVL</v>
      </c>
      <c r="C31" s="79">
        <f>IF(ISTEXT(D31),MAX($C$6:$C30)+1,"")</f>
        <v>27</v>
      </c>
      <c r="D31" s="80" t="s">
        <v>10</v>
      </c>
      <c r="E31" s="155" t="s">
        <v>224</v>
      </c>
      <c r="F31" s="223" t="s">
        <v>43</v>
      </c>
      <c r="G31" s="224"/>
      <c r="H31" s="231"/>
      <c r="I31" s="235">
        <f t="shared" si="7"/>
        <v>2</v>
      </c>
      <c r="J31" s="236">
        <f t="shared" si="8"/>
        <v>0</v>
      </c>
      <c r="K31" s="250">
        <f t="shared" si="6"/>
        <v>0</v>
      </c>
      <c r="L31" s="20"/>
    </row>
    <row r="32" spans="2:12" ht="42.75" x14ac:dyDescent="0.25">
      <c r="B32" s="152" t="str">
        <f t="shared" si="0"/>
        <v>IAVL</v>
      </c>
      <c r="C32" s="153">
        <f>IF(ISTEXT(D32),MAX($C$6:$C31)+1,"")</f>
        <v>28</v>
      </c>
      <c r="D32" s="80" t="s">
        <v>10</v>
      </c>
      <c r="E32" s="156" t="s">
        <v>225</v>
      </c>
      <c r="F32" s="223" t="s">
        <v>43</v>
      </c>
      <c r="G32" s="241"/>
      <c r="H32" s="242"/>
      <c r="I32" s="238">
        <f t="shared" si="7"/>
        <v>2</v>
      </c>
      <c r="J32" s="239">
        <f t="shared" si="8"/>
        <v>0</v>
      </c>
      <c r="K32" s="254">
        <f t="shared" si="6"/>
        <v>0</v>
      </c>
      <c r="L32" s="21"/>
    </row>
    <row r="33" ht="8.25" customHeight="1" x14ac:dyDescent="0.25"/>
  </sheetData>
  <sheetProtection algorithmName="SHA-512" hashValue="yYLvlRckYsLit6ManxcAm+mTopSD/as7SQyk0dFJvtPAlkjq95M/usyprSxOV6zprRZ++ZOVdZpNHta7zu3TBA==" saltValue="ehAZ4Yi+Vuf+FBcgko+AkQ==" spinCount="100000" sheet="1" selectLockedCells="1"/>
  <conditionalFormatting sqref="D4:D20">
    <cfRule type="cellIs" dxfId="158" priority="7" operator="equal">
      <formula>"Important"</formula>
    </cfRule>
    <cfRule type="cellIs" dxfId="157" priority="8" operator="equal">
      <formula>"Crucial"</formula>
    </cfRule>
    <cfRule type="cellIs" dxfId="156" priority="9" operator="equal">
      <formula>"N/A"</formula>
    </cfRule>
  </conditionalFormatting>
  <conditionalFormatting sqref="D22:D32">
    <cfRule type="cellIs" dxfId="155" priority="1" operator="equal">
      <formula>"Important"</formula>
    </cfRule>
    <cfRule type="cellIs" dxfId="154" priority="2" operator="equal">
      <formula>"Crucial"</formula>
    </cfRule>
    <cfRule type="cellIs" dxfId="153" priority="3" operator="equal">
      <formula>"N/A"</formula>
    </cfRule>
  </conditionalFormatting>
  <conditionalFormatting sqref="F4:F32">
    <cfRule type="cellIs" dxfId="152" priority="16" operator="equal">
      <formula>"Function Not Available"</formula>
    </cfRule>
    <cfRule type="cellIs" dxfId="151" priority="17" operator="equal">
      <formula>"Function Available"</formula>
    </cfRule>
    <cfRule type="cellIs" dxfId="150" priority="18" operator="equal">
      <formula>"Exception"</formula>
    </cfRule>
  </conditionalFormatting>
  <dataValidations count="3">
    <dataValidation type="list" allowBlank="1" showInputMessage="1" showErrorMessage="1" sqref="F4:F5" xr:uid="{00000000-0002-0000-0700-000000000000}">
      <formula1>AvailabilityType</formula1>
    </dataValidation>
    <dataValidation type="list" allowBlank="1" showInputMessage="1" showErrorMessage="1" sqref="D4:D20 D22:D32" xr:uid="{00000000-0002-0000-0700-000001000000}">
      <formula1>SpecType</formula1>
    </dataValidation>
    <dataValidation type="list" allowBlank="1" showInputMessage="1" showErrorMessage="1" errorTitle="Invalid specification type" error="Please enter a Specification type from the drop-down list." sqref="F6:F20 F22:F32" xr:uid="{00000000-0002-0000-0700-000002000000}">
      <formula1>AvailabilityType</formula1>
    </dataValidation>
  </dataValidations>
  <pageMargins left="0.7" right="0.7" top="0.75" bottom="0.75" header="0.3" footer="0.3"/>
  <pageSetup scale="47" fitToHeight="0" orientation="portrait" r:id="rId1"/>
  <headerFooter>
    <oddHeader>&amp;CGCCDA
&amp;F&amp;R&amp;A</oddHeader>
    <oddFooter>&amp;LTSSI Consulting LLC, March 2026&amp;CPage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rgb="FFFFCC00"/>
    <pageSetUpPr fitToPage="1"/>
  </sheetPr>
  <dimension ref="A1:M39"/>
  <sheetViews>
    <sheetView showGridLines="0" zoomScale="80" zoomScaleNormal="80" zoomScalePageLayoutView="40" workbookViewId="0">
      <selection activeCell="F4" sqref="F4"/>
    </sheetView>
  </sheetViews>
  <sheetFormatPr defaultColWidth="0" defaultRowHeight="15" zeroHeight="1" x14ac:dyDescent="0.25"/>
  <cols>
    <col min="1" max="1" width="0.7109375" customWidth="1"/>
    <col min="2" max="2" width="9.7109375" customWidth="1"/>
    <col min="3" max="3" width="10.7109375" customWidth="1"/>
    <col min="4" max="4" width="21.7109375" customWidth="1"/>
    <col min="5" max="5" width="65.7109375" style="63" customWidth="1"/>
    <col min="6" max="6" width="28.7109375" customWidth="1"/>
    <col min="7" max="7" width="15.42578125" style="64" hidden="1" customWidth="1"/>
    <col min="8" max="11" width="12.7109375" hidden="1" customWidth="1"/>
    <col min="12" max="12" width="49.42578125" customWidth="1"/>
    <col min="13" max="13" width="2" customWidth="1"/>
    <col min="14" max="16384" width="9.28515625" hidden="1"/>
  </cols>
  <sheetData>
    <row r="1" spans="2:12" ht="4.1500000000000004" customHeight="1" x14ac:dyDescent="0.25"/>
    <row r="2" spans="2:12" s="71" customFormat="1" ht="129" customHeight="1" thickBot="1" x14ac:dyDescent="0.25">
      <c r="B2" s="65" t="s">
        <v>44</v>
      </c>
      <c r="C2" s="66" t="s">
        <v>45</v>
      </c>
      <c r="D2" s="66" t="s">
        <v>46</v>
      </c>
      <c r="E2" s="66" t="s">
        <v>226</v>
      </c>
      <c r="F2" s="66" t="s">
        <v>42</v>
      </c>
      <c r="G2" s="67" t="s">
        <v>48</v>
      </c>
      <c r="H2" s="67" t="s">
        <v>49</v>
      </c>
      <c r="I2" s="68" t="s">
        <v>50</v>
      </c>
      <c r="J2" s="68" t="s">
        <v>51</v>
      </c>
      <c r="K2" s="69" t="s">
        <v>14</v>
      </c>
      <c r="L2" s="70" t="s">
        <v>52</v>
      </c>
    </row>
    <row r="3" spans="2:12" ht="16.5" thickBot="1" x14ac:dyDescent="0.3">
      <c r="B3" s="72" t="s">
        <v>227</v>
      </c>
      <c r="C3" s="72"/>
      <c r="D3" s="72"/>
      <c r="E3" s="72"/>
      <c r="F3" s="72"/>
      <c r="G3" s="157" t="s">
        <v>54</v>
      </c>
      <c r="H3" s="158">
        <f>COUNTA(D4:D503)</f>
        <v>31</v>
      </c>
      <c r="I3" s="159"/>
      <c r="J3" s="160" t="s">
        <v>55</v>
      </c>
      <c r="K3" s="161">
        <f>SUM(K4:K503)</f>
        <v>0</v>
      </c>
      <c r="L3" s="72"/>
    </row>
    <row r="4" spans="2:12" ht="46.5" customHeight="1" x14ac:dyDescent="0.25">
      <c r="B4" s="152" t="s">
        <v>228</v>
      </c>
      <c r="C4" s="79">
        <v>1</v>
      </c>
      <c r="D4" s="80" t="s">
        <v>10</v>
      </c>
      <c r="E4" s="89" t="s">
        <v>229</v>
      </c>
      <c r="F4" s="223" t="s">
        <v>43</v>
      </c>
      <c r="G4" s="224" t="s">
        <v>57</v>
      </c>
      <c r="H4" s="225">
        <f>COUNTIF(F4:F503,"Select from Drop Down")</f>
        <v>31</v>
      </c>
      <c r="I4" s="226">
        <f>VLOOKUP($D4,SpecData,2,FALSE)</f>
        <v>2</v>
      </c>
      <c r="J4" s="227">
        <f>VLOOKUP($F4,AvailabilityData,2,FALSE)</f>
        <v>0</v>
      </c>
      <c r="K4" s="228">
        <f>I4*J4</f>
        <v>0</v>
      </c>
      <c r="L4" s="20"/>
    </row>
    <row r="5" spans="2:12" ht="16.149999999999999" customHeight="1" x14ac:dyDescent="0.25">
      <c r="B5" s="162" t="s">
        <v>230</v>
      </c>
      <c r="C5" s="125"/>
      <c r="D5" s="126"/>
      <c r="E5" s="163"/>
      <c r="F5" s="163"/>
      <c r="G5" s="163"/>
      <c r="H5" s="163"/>
      <c r="I5" s="129"/>
      <c r="J5" s="129"/>
      <c r="K5" s="129"/>
      <c r="L5" s="129"/>
    </row>
    <row r="6" spans="2:12" ht="30" customHeight="1" x14ac:dyDescent="0.25">
      <c r="B6" s="78" t="str">
        <f>IF(C6="","",$B$4)</f>
        <v>IC2C</v>
      </c>
      <c r="C6" s="79">
        <v>2</v>
      </c>
      <c r="D6" s="80" t="s">
        <v>10</v>
      </c>
      <c r="E6" s="164" t="s">
        <v>647</v>
      </c>
      <c r="F6" s="223" t="s">
        <v>43</v>
      </c>
      <c r="G6" s="224" t="s">
        <v>59</v>
      </c>
      <c r="H6" s="225">
        <f>COUNTIF(F4:F503,"Function Available")</f>
        <v>0</v>
      </c>
      <c r="I6" s="226">
        <f>VLOOKUP($D6,SpecData,2,FALSE)</f>
        <v>2</v>
      </c>
      <c r="J6" s="227">
        <f>VLOOKUP($F6,AvailabilityData,2,FALSE)</f>
        <v>0</v>
      </c>
      <c r="K6" s="228">
        <f>I6*J6</f>
        <v>0</v>
      </c>
      <c r="L6" s="20"/>
    </row>
    <row r="7" spans="2:12" ht="30" customHeight="1" x14ac:dyDescent="0.25">
      <c r="B7" s="124" t="str">
        <f t="shared" ref="B7:B38" si="0">IF(C7="","",$B$4)</f>
        <v/>
      </c>
      <c r="C7" s="125" t="str">
        <f>IF(ISTEXT(D7),MAX($C6:$C$8)+1,"")</f>
        <v/>
      </c>
      <c r="D7" s="126"/>
      <c r="E7" s="149" t="s">
        <v>231</v>
      </c>
      <c r="F7" s="129"/>
      <c r="G7" s="129"/>
      <c r="H7" s="129"/>
      <c r="I7" s="129"/>
      <c r="J7" s="129"/>
      <c r="K7" s="129"/>
      <c r="L7" s="129"/>
    </row>
    <row r="8" spans="2:12" ht="30" customHeight="1" x14ac:dyDescent="0.25">
      <c r="B8" s="78" t="str">
        <f t="shared" si="0"/>
        <v>IC2C</v>
      </c>
      <c r="C8" s="79">
        <v>3</v>
      </c>
      <c r="D8" s="80" t="s">
        <v>10</v>
      </c>
      <c r="E8" s="150" t="s">
        <v>560</v>
      </c>
      <c r="F8" s="223" t="s">
        <v>43</v>
      </c>
      <c r="G8" s="224" t="s">
        <v>61</v>
      </c>
      <c r="H8" s="231">
        <f>COUNTIF(F4:F503,"Function Not Available")</f>
        <v>0</v>
      </c>
      <c r="I8" s="226">
        <f t="shared" ref="I8:I15" si="1">VLOOKUP($D8,SpecData,2,FALSE)</f>
        <v>2</v>
      </c>
      <c r="J8" s="227">
        <f t="shared" ref="J8:J15" si="2">VLOOKUP($F8,AvailabilityData,2,FALSE)</f>
        <v>0</v>
      </c>
      <c r="K8" s="250">
        <f t="shared" ref="K8:K15" si="3">I8*J8</f>
        <v>0</v>
      </c>
      <c r="L8" s="20"/>
    </row>
    <row r="9" spans="2:12" ht="30" customHeight="1" x14ac:dyDescent="0.25">
      <c r="B9" s="165" t="str">
        <f t="shared" si="0"/>
        <v>IC2C</v>
      </c>
      <c r="C9" s="166">
        <f>IF(ISTEXT(D9),MAX($C$8:$C8)+1,"")</f>
        <v>4</v>
      </c>
      <c r="D9" s="167" t="s">
        <v>10</v>
      </c>
      <c r="E9" s="168" t="s">
        <v>561</v>
      </c>
      <c r="F9" s="223" t="s">
        <v>43</v>
      </c>
      <c r="G9" s="256" t="s">
        <v>63</v>
      </c>
      <c r="H9" s="257">
        <f>COUNTIF(F4:F503,"Exception")</f>
        <v>0</v>
      </c>
      <c r="I9" s="258">
        <f t="shared" si="1"/>
        <v>2</v>
      </c>
      <c r="J9" s="259">
        <f t="shared" si="2"/>
        <v>0</v>
      </c>
      <c r="K9" s="260">
        <f t="shared" si="3"/>
        <v>0</v>
      </c>
      <c r="L9" s="55"/>
    </row>
    <row r="10" spans="2:12" ht="30" customHeight="1" x14ac:dyDescent="0.25">
      <c r="B10" s="165" t="str">
        <f t="shared" si="0"/>
        <v>IC2C</v>
      </c>
      <c r="C10" s="166">
        <f>IF(ISTEXT(D10),MAX($C$8:$C9)+1,"")</f>
        <v>5</v>
      </c>
      <c r="D10" s="167" t="s">
        <v>10</v>
      </c>
      <c r="E10" s="169" t="s">
        <v>562</v>
      </c>
      <c r="F10" s="223" t="s">
        <v>43</v>
      </c>
      <c r="G10" s="224" t="s">
        <v>65</v>
      </c>
      <c r="H10" s="232">
        <f>COUNTIFS(D:D,"=Crucial",F:F,"=Select From Drop Down")</f>
        <v>6</v>
      </c>
      <c r="I10" s="226">
        <f t="shared" si="1"/>
        <v>2</v>
      </c>
      <c r="J10" s="227">
        <f t="shared" si="2"/>
        <v>0</v>
      </c>
      <c r="K10" s="250">
        <f t="shared" si="3"/>
        <v>0</v>
      </c>
      <c r="L10" s="20"/>
    </row>
    <row r="11" spans="2:12" ht="30" customHeight="1" x14ac:dyDescent="0.25">
      <c r="B11" s="124" t="str">
        <f t="shared" si="0"/>
        <v/>
      </c>
      <c r="C11" s="125" t="str">
        <f>IF(ISTEXT(D11),MAX($C$8:$C10)+1,"")</f>
        <v/>
      </c>
      <c r="D11" s="126"/>
      <c r="E11" s="149" t="s">
        <v>232</v>
      </c>
      <c r="F11" s="128"/>
      <c r="G11" s="129"/>
      <c r="H11" s="129"/>
      <c r="I11" s="129"/>
      <c r="J11" s="129"/>
      <c r="K11" s="129"/>
      <c r="L11" s="129"/>
    </row>
    <row r="12" spans="2:12" ht="30" customHeight="1" x14ac:dyDescent="0.25">
      <c r="B12" s="165" t="str">
        <f t="shared" si="0"/>
        <v>IC2C</v>
      </c>
      <c r="C12" s="166">
        <v>6</v>
      </c>
      <c r="D12" s="167" t="s">
        <v>10</v>
      </c>
      <c r="E12" s="170" t="s">
        <v>563</v>
      </c>
      <c r="F12" s="223" t="s">
        <v>43</v>
      </c>
      <c r="G12" s="256" t="s">
        <v>67</v>
      </c>
      <c r="H12" s="261">
        <f>COUNTIFS(D:D,"=Crucial",F:F,"=Function Available")</f>
        <v>0</v>
      </c>
      <c r="I12" s="258">
        <f t="shared" si="1"/>
        <v>2</v>
      </c>
      <c r="J12" s="259">
        <f t="shared" si="2"/>
        <v>0</v>
      </c>
      <c r="K12" s="262">
        <f t="shared" si="3"/>
        <v>0</v>
      </c>
      <c r="L12" s="55"/>
    </row>
    <row r="13" spans="2:12" ht="30" customHeight="1" x14ac:dyDescent="0.25">
      <c r="B13" s="165" t="str">
        <f t="shared" si="0"/>
        <v>IC2C</v>
      </c>
      <c r="C13" s="166">
        <v>7</v>
      </c>
      <c r="D13" s="167" t="s">
        <v>10</v>
      </c>
      <c r="E13" s="168" t="s">
        <v>564</v>
      </c>
      <c r="F13" s="223" t="s">
        <v>43</v>
      </c>
      <c r="G13" s="256" t="s">
        <v>69</v>
      </c>
      <c r="H13" s="261">
        <f>COUNTIFS(D:D,"=Crucial",F:F,"=Function Not Available")</f>
        <v>0</v>
      </c>
      <c r="I13" s="258">
        <f t="shared" si="1"/>
        <v>2</v>
      </c>
      <c r="J13" s="259">
        <f t="shared" si="2"/>
        <v>0</v>
      </c>
      <c r="K13" s="262">
        <f t="shared" si="3"/>
        <v>0</v>
      </c>
      <c r="L13" s="55"/>
    </row>
    <row r="14" spans="2:12" ht="30" customHeight="1" x14ac:dyDescent="0.25">
      <c r="B14" s="165" t="str">
        <f t="shared" si="0"/>
        <v>IC2C</v>
      </c>
      <c r="C14" s="166">
        <f>IF(ISTEXT(D14),MAX($C$12:$C13)+1,"")</f>
        <v>8</v>
      </c>
      <c r="D14" s="167" t="s">
        <v>10</v>
      </c>
      <c r="E14" s="168" t="s">
        <v>565</v>
      </c>
      <c r="F14" s="223" t="s">
        <v>43</v>
      </c>
      <c r="G14" s="263" t="s">
        <v>70</v>
      </c>
      <c r="H14" s="264">
        <f>COUNTIFS(D:D,"=Crucial",F:F,"=Exception")</f>
        <v>0</v>
      </c>
      <c r="I14" s="265">
        <f t="shared" si="1"/>
        <v>2</v>
      </c>
      <c r="J14" s="258">
        <f t="shared" si="2"/>
        <v>0</v>
      </c>
      <c r="K14" s="266">
        <f t="shared" si="3"/>
        <v>0</v>
      </c>
      <c r="L14" s="56"/>
    </row>
    <row r="15" spans="2:12" ht="30" customHeight="1" x14ac:dyDescent="0.25">
      <c r="B15" s="165" t="str">
        <f t="shared" si="0"/>
        <v>IC2C</v>
      </c>
      <c r="C15" s="166">
        <f>IF(ISTEXT(D15),MAX($C$12:$C14)+1,"")</f>
        <v>9</v>
      </c>
      <c r="D15" s="167" t="s">
        <v>10</v>
      </c>
      <c r="E15" s="168" t="s">
        <v>566</v>
      </c>
      <c r="F15" s="223" t="s">
        <v>43</v>
      </c>
      <c r="G15" s="256" t="s">
        <v>72</v>
      </c>
      <c r="H15" s="261">
        <f>COUNTIFS(D:D,"=Important",F:F,"=Select From Drop Down")</f>
        <v>21</v>
      </c>
      <c r="I15" s="265">
        <f t="shared" si="1"/>
        <v>2</v>
      </c>
      <c r="J15" s="258">
        <f t="shared" si="2"/>
        <v>0</v>
      </c>
      <c r="K15" s="262">
        <f t="shared" si="3"/>
        <v>0</v>
      </c>
      <c r="L15" s="57"/>
    </row>
    <row r="16" spans="2:12" ht="30" customHeight="1" x14ac:dyDescent="0.25">
      <c r="B16" s="165" t="str">
        <f t="shared" si="0"/>
        <v>IC2C</v>
      </c>
      <c r="C16" s="166">
        <f>IF(ISTEXT(D16),MAX($C$12:$C15)+1,"")</f>
        <v>10</v>
      </c>
      <c r="D16" s="167" t="s">
        <v>10</v>
      </c>
      <c r="E16" s="172" t="s">
        <v>233</v>
      </c>
      <c r="F16" s="223" t="s">
        <v>43</v>
      </c>
      <c r="G16" s="256" t="s">
        <v>74</v>
      </c>
      <c r="H16" s="261">
        <f>COUNTIFS(D:D,"=Important",F:F,"=Function Available")</f>
        <v>0</v>
      </c>
      <c r="I16" s="258">
        <f>VLOOKUP($D16,SpecData,2,FALSE)</f>
        <v>2</v>
      </c>
      <c r="J16" s="259">
        <f>VLOOKUP($F16,AvailabilityData,2,FALSE)</f>
        <v>0</v>
      </c>
      <c r="K16" s="262">
        <f>I16*J16</f>
        <v>0</v>
      </c>
      <c r="L16" s="55"/>
    </row>
    <row r="17" spans="2:12" ht="30" customHeight="1" x14ac:dyDescent="0.25">
      <c r="B17" s="165" t="str">
        <f t="shared" si="0"/>
        <v>IC2C</v>
      </c>
      <c r="C17" s="166">
        <f>IF(ISTEXT(D17),MAX($C$12:$C16)+1,"")</f>
        <v>11</v>
      </c>
      <c r="D17" s="167" t="s">
        <v>10</v>
      </c>
      <c r="E17" s="173" t="s">
        <v>234</v>
      </c>
      <c r="F17" s="223" t="s">
        <v>43</v>
      </c>
      <c r="G17" s="263" t="s">
        <v>76</v>
      </c>
      <c r="H17" s="264">
        <f>COUNTIFS(D:D,"=Important",F:F,"=Function Not Available")</f>
        <v>0</v>
      </c>
      <c r="I17" s="267">
        <f>VLOOKUP($D17,SpecData,2,FALSE)</f>
        <v>2</v>
      </c>
      <c r="J17" s="268">
        <f>VLOOKUP($F17,AvailabilityData,2,FALSE)</f>
        <v>0</v>
      </c>
      <c r="K17" s="266">
        <f>I17*J17</f>
        <v>0</v>
      </c>
      <c r="L17" s="55"/>
    </row>
    <row r="18" spans="2:12" ht="30" customHeight="1" x14ac:dyDescent="0.25">
      <c r="B18" s="124" t="str">
        <f t="shared" si="0"/>
        <v/>
      </c>
      <c r="C18" s="125" t="str">
        <f>IF(ISTEXT(D18),MAX($C$12:$C17)+1,"")</f>
        <v/>
      </c>
      <c r="D18" s="126"/>
      <c r="E18" s="149" t="s">
        <v>235</v>
      </c>
      <c r="F18" s="128"/>
      <c r="G18" s="129"/>
      <c r="H18" s="129"/>
      <c r="I18" s="129"/>
      <c r="J18" s="129"/>
      <c r="K18" s="129"/>
      <c r="L18" s="129"/>
    </row>
    <row r="19" spans="2:12" ht="30" customHeight="1" x14ac:dyDescent="0.25">
      <c r="B19" s="165" t="str">
        <f t="shared" si="0"/>
        <v>IC2C</v>
      </c>
      <c r="C19" s="166">
        <f>IF(ISTEXT(D19),MAX($C$12:$C18)+1,"")</f>
        <v>12</v>
      </c>
      <c r="D19" s="167" t="s">
        <v>10</v>
      </c>
      <c r="E19" s="170" t="s">
        <v>236</v>
      </c>
      <c r="F19" s="223" t="s">
        <v>43</v>
      </c>
      <c r="G19" s="256" t="s">
        <v>77</v>
      </c>
      <c r="H19" s="261">
        <f>COUNTIFS(D:D,"=Important",F:F,"=Exception")</f>
        <v>0</v>
      </c>
      <c r="I19" s="258">
        <f t="shared" ref="I19:I30" si="4">VLOOKUP($D19,SpecData,2,FALSE)</f>
        <v>2</v>
      </c>
      <c r="J19" s="259">
        <f t="shared" ref="J19:J30" si="5">VLOOKUP($F19,AvailabilityData,2,FALSE)</f>
        <v>0</v>
      </c>
      <c r="K19" s="260">
        <f t="shared" ref="K19:K38" si="6">I19*J19</f>
        <v>0</v>
      </c>
      <c r="L19" s="58"/>
    </row>
    <row r="20" spans="2:12" ht="30" customHeight="1" x14ac:dyDescent="0.25">
      <c r="B20" s="165" t="str">
        <f t="shared" si="0"/>
        <v>IC2C</v>
      </c>
      <c r="C20" s="166">
        <f>IF(ISTEXT(D20),MAX($C$12:$C19)+1,"")</f>
        <v>13</v>
      </c>
      <c r="D20" s="167" t="s">
        <v>10</v>
      </c>
      <c r="E20" s="168" t="s">
        <v>237</v>
      </c>
      <c r="F20" s="223" t="s">
        <v>43</v>
      </c>
      <c r="G20" s="256" t="s">
        <v>78</v>
      </c>
      <c r="H20" s="261">
        <f>COUNTIFS(D:D,"=Minimal",F:F,"=Select From Drop Down")</f>
        <v>4</v>
      </c>
      <c r="I20" s="269">
        <f t="shared" si="4"/>
        <v>2</v>
      </c>
      <c r="J20" s="265">
        <f t="shared" si="5"/>
        <v>0</v>
      </c>
      <c r="K20" s="262">
        <f t="shared" si="6"/>
        <v>0</v>
      </c>
      <c r="L20" s="55"/>
    </row>
    <row r="21" spans="2:12" ht="30" customHeight="1" x14ac:dyDescent="0.25">
      <c r="B21" s="165" t="str">
        <f t="shared" si="0"/>
        <v>IC2C</v>
      </c>
      <c r="C21" s="166">
        <f>IF(ISTEXT(D21),MAX($C$12:$C20)+1,"")</f>
        <v>14</v>
      </c>
      <c r="D21" s="167" t="s">
        <v>9</v>
      </c>
      <c r="E21" s="168" t="s">
        <v>238</v>
      </c>
      <c r="F21" s="223" t="s">
        <v>43</v>
      </c>
      <c r="G21" s="256" t="s">
        <v>80</v>
      </c>
      <c r="H21" s="261">
        <f>COUNTIFS(D:D,"=Minimal",F:F,"=Function Available")</f>
        <v>0</v>
      </c>
      <c r="I21" s="269">
        <f t="shared" si="4"/>
        <v>3</v>
      </c>
      <c r="J21" s="265">
        <f t="shared" si="5"/>
        <v>0</v>
      </c>
      <c r="K21" s="262">
        <f t="shared" si="6"/>
        <v>0</v>
      </c>
      <c r="L21" s="55"/>
    </row>
    <row r="22" spans="2:12" ht="30" customHeight="1" x14ac:dyDescent="0.25">
      <c r="B22" s="165" t="str">
        <f t="shared" si="0"/>
        <v>IC2C</v>
      </c>
      <c r="C22" s="166">
        <f>IF(ISTEXT(D22),MAX($C$12:$C21)+1,"")</f>
        <v>15</v>
      </c>
      <c r="D22" s="167" t="s">
        <v>9</v>
      </c>
      <c r="E22" s="168" t="s">
        <v>239</v>
      </c>
      <c r="F22" s="223" t="s">
        <v>43</v>
      </c>
      <c r="G22" s="256" t="s">
        <v>82</v>
      </c>
      <c r="H22" s="261">
        <f>COUNTIFS(D:D,"=Minimal",F:F,"=Function Not Available")</f>
        <v>0</v>
      </c>
      <c r="I22" s="269">
        <f t="shared" si="4"/>
        <v>3</v>
      </c>
      <c r="J22" s="265">
        <f t="shared" si="5"/>
        <v>0</v>
      </c>
      <c r="K22" s="262">
        <f t="shared" si="6"/>
        <v>0</v>
      </c>
      <c r="L22" s="55"/>
    </row>
    <row r="23" spans="2:12" ht="30" customHeight="1" x14ac:dyDescent="0.25">
      <c r="B23" s="165" t="str">
        <f t="shared" si="0"/>
        <v>IC2C</v>
      </c>
      <c r="C23" s="166">
        <f>IF(ISTEXT(D23),MAX($C$12:$C22)+1,"")</f>
        <v>16</v>
      </c>
      <c r="D23" s="167" t="s">
        <v>9</v>
      </c>
      <c r="E23" s="172" t="s">
        <v>240</v>
      </c>
      <c r="F23" s="223" t="s">
        <v>43</v>
      </c>
      <c r="G23" s="256" t="s">
        <v>83</v>
      </c>
      <c r="H23" s="261">
        <f>COUNTIFS(D:D,"=Minimal",F:F,"=Exception")</f>
        <v>0</v>
      </c>
      <c r="I23" s="269">
        <f t="shared" si="4"/>
        <v>3</v>
      </c>
      <c r="J23" s="265">
        <f t="shared" si="5"/>
        <v>0</v>
      </c>
      <c r="K23" s="262">
        <f t="shared" si="6"/>
        <v>0</v>
      </c>
      <c r="L23" s="55"/>
    </row>
    <row r="24" spans="2:12" ht="45" customHeight="1" x14ac:dyDescent="0.25">
      <c r="B24" s="165" t="str">
        <f t="shared" si="0"/>
        <v>IC2C</v>
      </c>
      <c r="C24" s="166">
        <f>IF(ISTEXT(D24),MAX($C$12:$C23)+1,"")</f>
        <v>17</v>
      </c>
      <c r="D24" s="167" t="s">
        <v>10</v>
      </c>
      <c r="E24" s="172" t="s">
        <v>653</v>
      </c>
      <c r="F24" s="223" t="s">
        <v>43</v>
      </c>
      <c r="G24" s="256"/>
      <c r="H24" s="257"/>
      <c r="I24" s="269">
        <f t="shared" si="4"/>
        <v>2</v>
      </c>
      <c r="J24" s="265">
        <f t="shared" si="5"/>
        <v>0</v>
      </c>
      <c r="K24" s="262">
        <f t="shared" si="6"/>
        <v>0</v>
      </c>
      <c r="L24" s="55"/>
    </row>
    <row r="25" spans="2:12" ht="30" customHeight="1" x14ac:dyDescent="0.25">
      <c r="B25" s="165" t="str">
        <f t="shared" si="0"/>
        <v>IC2C</v>
      </c>
      <c r="C25" s="166">
        <f>IF(ISTEXT(D25),MAX($C$12:$C24)+1,"")</f>
        <v>18</v>
      </c>
      <c r="D25" s="167" t="s">
        <v>9</v>
      </c>
      <c r="E25" s="172" t="s">
        <v>241</v>
      </c>
      <c r="F25" s="223" t="s">
        <v>43</v>
      </c>
      <c r="G25" s="256"/>
      <c r="H25" s="257"/>
      <c r="I25" s="269">
        <f t="shared" si="4"/>
        <v>3</v>
      </c>
      <c r="J25" s="265">
        <f t="shared" si="5"/>
        <v>0</v>
      </c>
      <c r="K25" s="262">
        <f t="shared" si="6"/>
        <v>0</v>
      </c>
      <c r="L25" s="55"/>
    </row>
    <row r="26" spans="2:12" ht="30" customHeight="1" x14ac:dyDescent="0.25">
      <c r="B26" s="165" t="str">
        <f t="shared" si="0"/>
        <v>IC2C</v>
      </c>
      <c r="C26" s="166">
        <f>IF(ISTEXT(D26),MAX($C$12:$C25)+1,"")</f>
        <v>19</v>
      </c>
      <c r="D26" s="167" t="s">
        <v>10</v>
      </c>
      <c r="E26" s="174" t="s">
        <v>242</v>
      </c>
      <c r="F26" s="223" t="s">
        <v>43</v>
      </c>
      <c r="G26" s="256"/>
      <c r="H26" s="257"/>
      <c r="I26" s="269">
        <f t="shared" si="4"/>
        <v>2</v>
      </c>
      <c r="J26" s="265">
        <f t="shared" si="5"/>
        <v>0</v>
      </c>
      <c r="K26" s="262">
        <f t="shared" si="6"/>
        <v>0</v>
      </c>
      <c r="L26" s="55"/>
    </row>
    <row r="27" spans="2:12" ht="30" customHeight="1" x14ac:dyDescent="0.25">
      <c r="B27" s="165" t="str">
        <f t="shared" si="0"/>
        <v>IC2C</v>
      </c>
      <c r="C27" s="166">
        <f>IF(ISTEXT(D27),MAX($C$12:$C26)+1,"")</f>
        <v>20</v>
      </c>
      <c r="D27" s="167" t="s">
        <v>10</v>
      </c>
      <c r="E27" s="174" t="s">
        <v>243</v>
      </c>
      <c r="F27" s="223" t="s">
        <v>43</v>
      </c>
      <c r="G27" s="256"/>
      <c r="H27" s="257"/>
      <c r="I27" s="269">
        <f t="shared" si="4"/>
        <v>2</v>
      </c>
      <c r="J27" s="265">
        <f t="shared" si="5"/>
        <v>0</v>
      </c>
      <c r="K27" s="262">
        <f t="shared" si="6"/>
        <v>0</v>
      </c>
      <c r="L27" s="55"/>
    </row>
    <row r="28" spans="2:12" ht="30" customHeight="1" x14ac:dyDescent="0.25">
      <c r="B28" s="165" t="str">
        <f t="shared" si="0"/>
        <v>IC2C</v>
      </c>
      <c r="C28" s="166">
        <f>IF(ISTEXT(D28),MAX($C$12:$C27)+1,"")</f>
        <v>21</v>
      </c>
      <c r="D28" s="167" t="s">
        <v>11</v>
      </c>
      <c r="E28" s="174" t="s">
        <v>244</v>
      </c>
      <c r="F28" s="223" t="s">
        <v>43</v>
      </c>
      <c r="G28" s="256"/>
      <c r="H28" s="257"/>
      <c r="I28" s="269">
        <f t="shared" si="4"/>
        <v>1</v>
      </c>
      <c r="J28" s="265">
        <f t="shared" si="5"/>
        <v>0</v>
      </c>
      <c r="K28" s="262">
        <f t="shared" si="6"/>
        <v>0</v>
      </c>
      <c r="L28" s="55"/>
    </row>
    <row r="29" spans="2:12" ht="30" customHeight="1" x14ac:dyDescent="0.25">
      <c r="B29" s="165" t="str">
        <f t="shared" si="0"/>
        <v>IC2C</v>
      </c>
      <c r="C29" s="166">
        <f>IF(ISTEXT(D29),MAX($C$12:$C28)+1,"")</f>
        <v>22</v>
      </c>
      <c r="D29" s="167" t="s">
        <v>11</v>
      </c>
      <c r="E29" s="174" t="s">
        <v>245</v>
      </c>
      <c r="F29" s="223" t="s">
        <v>43</v>
      </c>
      <c r="G29" s="256"/>
      <c r="H29" s="257"/>
      <c r="I29" s="269">
        <f t="shared" si="4"/>
        <v>1</v>
      </c>
      <c r="J29" s="265">
        <f t="shared" si="5"/>
        <v>0</v>
      </c>
      <c r="K29" s="262">
        <f t="shared" si="6"/>
        <v>0</v>
      </c>
      <c r="L29" s="55"/>
    </row>
    <row r="30" spans="2:12" ht="45" customHeight="1" x14ac:dyDescent="0.25">
      <c r="B30" s="165" t="str">
        <f t="shared" si="0"/>
        <v>IC2C</v>
      </c>
      <c r="C30" s="166">
        <f>IF(ISTEXT(D30),MAX($C$12:$C29)+1,"")</f>
        <v>23</v>
      </c>
      <c r="D30" s="167" t="s">
        <v>10</v>
      </c>
      <c r="E30" s="174" t="s">
        <v>246</v>
      </c>
      <c r="F30" s="223" t="s">
        <v>43</v>
      </c>
      <c r="G30" s="256"/>
      <c r="H30" s="261"/>
      <c r="I30" s="269">
        <f t="shared" si="4"/>
        <v>2</v>
      </c>
      <c r="J30" s="265">
        <f t="shared" si="5"/>
        <v>0</v>
      </c>
      <c r="K30" s="262">
        <f t="shared" si="6"/>
        <v>0</v>
      </c>
      <c r="L30" s="55"/>
    </row>
    <row r="31" spans="2:12" ht="30" customHeight="1" x14ac:dyDescent="0.25">
      <c r="B31" s="165" t="str">
        <f t="shared" si="0"/>
        <v>IC2C</v>
      </c>
      <c r="C31" s="166">
        <f>IF(ISTEXT(D31),MAX($C$12:$C30)+1,"")</f>
        <v>24</v>
      </c>
      <c r="D31" s="167" t="s">
        <v>11</v>
      </c>
      <c r="E31" s="174" t="s">
        <v>247</v>
      </c>
      <c r="F31" s="223" t="s">
        <v>43</v>
      </c>
      <c r="G31" s="256"/>
      <c r="H31" s="261"/>
      <c r="I31" s="269">
        <f t="shared" ref="I31:I38" si="7">VLOOKUP($D31,SpecData,2,FALSE)</f>
        <v>1</v>
      </c>
      <c r="J31" s="265">
        <f t="shared" ref="J31:J38" si="8">VLOOKUP($F31,AvailabilityData,2,FALSE)</f>
        <v>0</v>
      </c>
      <c r="K31" s="262">
        <f t="shared" si="6"/>
        <v>0</v>
      </c>
      <c r="L31" s="55"/>
    </row>
    <row r="32" spans="2:12" ht="30" customHeight="1" x14ac:dyDescent="0.25">
      <c r="B32" s="165" t="str">
        <f t="shared" si="0"/>
        <v>IC2C</v>
      </c>
      <c r="C32" s="166">
        <f>IF(ISTEXT(D32),MAX($C$12:$C31)+1,"")</f>
        <v>25</v>
      </c>
      <c r="D32" s="167" t="s">
        <v>11</v>
      </c>
      <c r="E32" s="174" t="s">
        <v>248</v>
      </c>
      <c r="F32" s="223" t="s">
        <v>43</v>
      </c>
      <c r="G32" s="256"/>
      <c r="H32" s="261"/>
      <c r="I32" s="269">
        <f t="shared" si="7"/>
        <v>1</v>
      </c>
      <c r="J32" s="265">
        <f t="shared" si="8"/>
        <v>0</v>
      </c>
      <c r="K32" s="262">
        <f t="shared" si="6"/>
        <v>0</v>
      </c>
      <c r="L32" s="55"/>
    </row>
    <row r="33" spans="2:12" ht="30" customHeight="1" x14ac:dyDescent="0.25">
      <c r="B33" s="165" t="str">
        <f t="shared" si="0"/>
        <v>IC2C</v>
      </c>
      <c r="C33" s="166">
        <f>IF(ISTEXT(D33),MAX($C$12:$C32)+1,"")</f>
        <v>26</v>
      </c>
      <c r="D33" s="167" t="s">
        <v>9</v>
      </c>
      <c r="E33" s="174" t="s">
        <v>249</v>
      </c>
      <c r="F33" s="223" t="s">
        <v>43</v>
      </c>
      <c r="G33" s="256"/>
      <c r="H33" s="261"/>
      <c r="I33" s="269">
        <f t="shared" si="7"/>
        <v>3</v>
      </c>
      <c r="J33" s="265">
        <f t="shared" si="8"/>
        <v>0</v>
      </c>
      <c r="K33" s="262">
        <f t="shared" si="6"/>
        <v>0</v>
      </c>
      <c r="L33" s="55"/>
    </row>
    <row r="34" spans="2:12" ht="30" customHeight="1" x14ac:dyDescent="0.25">
      <c r="B34" s="165" t="str">
        <f t="shared" si="0"/>
        <v>IC2C</v>
      </c>
      <c r="C34" s="166">
        <f>IF(ISTEXT(D34),MAX($C$12:$C33)+1,"")</f>
        <v>27</v>
      </c>
      <c r="D34" s="167" t="s">
        <v>9</v>
      </c>
      <c r="E34" s="174" t="s">
        <v>656</v>
      </c>
      <c r="F34" s="223" t="s">
        <v>43</v>
      </c>
      <c r="G34" s="256"/>
      <c r="H34" s="261"/>
      <c r="I34" s="269">
        <f t="shared" si="7"/>
        <v>3</v>
      </c>
      <c r="J34" s="265">
        <f t="shared" si="8"/>
        <v>0</v>
      </c>
      <c r="K34" s="262">
        <f t="shared" si="6"/>
        <v>0</v>
      </c>
      <c r="L34" s="55"/>
    </row>
    <row r="35" spans="2:12" ht="30" customHeight="1" x14ac:dyDescent="0.25">
      <c r="B35" s="165" t="str">
        <f t="shared" si="0"/>
        <v>IC2C</v>
      </c>
      <c r="C35" s="166">
        <f>IF(ISTEXT(D35),MAX($C$12:$C34)+1,"")</f>
        <v>28</v>
      </c>
      <c r="D35" s="167" t="s">
        <v>10</v>
      </c>
      <c r="E35" s="174" t="s">
        <v>543</v>
      </c>
      <c r="F35" s="223" t="s">
        <v>43</v>
      </c>
      <c r="G35" s="256"/>
      <c r="H35" s="261"/>
      <c r="I35" s="269">
        <f t="shared" si="7"/>
        <v>2</v>
      </c>
      <c r="J35" s="265">
        <f t="shared" si="8"/>
        <v>0</v>
      </c>
      <c r="K35" s="262">
        <f t="shared" si="6"/>
        <v>0</v>
      </c>
      <c r="L35" s="55"/>
    </row>
    <row r="36" spans="2:12" ht="30" customHeight="1" x14ac:dyDescent="0.25">
      <c r="B36" s="165" t="str">
        <f t="shared" si="0"/>
        <v>IC2C</v>
      </c>
      <c r="C36" s="166">
        <f>IF(ISTEXT(D36),MAX($C$12:$C35)+1,"")</f>
        <v>29</v>
      </c>
      <c r="D36" s="167" t="s">
        <v>10</v>
      </c>
      <c r="E36" s="174" t="s">
        <v>544</v>
      </c>
      <c r="F36" s="223" t="s">
        <v>43</v>
      </c>
      <c r="G36" s="256"/>
      <c r="H36" s="261"/>
      <c r="I36" s="269">
        <f t="shared" si="7"/>
        <v>2</v>
      </c>
      <c r="J36" s="265">
        <f t="shared" si="8"/>
        <v>0</v>
      </c>
      <c r="K36" s="262">
        <f t="shared" si="6"/>
        <v>0</v>
      </c>
      <c r="L36" s="55"/>
    </row>
    <row r="37" spans="2:12" ht="30" customHeight="1" x14ac:dyDescent="0.25">
      <c r="B37" s="165" t="str">
        <f t="shared" si="0"/>
        <v>IC2C</v>
      </c>
      <c r="C37" s="166">
        <f>IF(ISTEXT(D37),MAX($C$12:$C36)+1,"")</f>
        <v>30</v>
      </c>
      <c r="D37" s="167" t="s">
        <v>10</v>
      </c>
      <c r="E37" s="174" t="s">
        <v>657</v>
      </c>
      <c r="F37" s="223" t="s">
        <v>43</v>
      </c>
      <c r="G37" s="256"/>
      <c r="H37" s="261"/>
      <c r="I37" s="269">
        <f t="shared" si="7"/>
        <v>2</v>
      </c>
      <c r="J37" s="265">
        <f t="shared" si="8"/>
        <v>0</v>
      </c>
      <c r="K37" s="262">
        <f t="shared" si="6"/>
        <v>0</v>
      </c>
      <c r="L37" s="55"/>
    </row>
    <row r="38" spans="2:12" ht="30" customHeight="1" x14ac:dyDescent="0.25">
      <c r="B38" s="165" t="str">
        <f t="shared" si="0"/>
        <v>IC2C</v>
      </c>
      <c r="C38" s="166">
        <f>IF(ISTEXT(D38),MAX($C$12:$C37)+1,"")</f>
        <v>31</v>
      </c>
      <c r="D38" s="175" t="s">
        <v>10</v>
      </c>
      <c r="E38" s="164" t="s">
        <v>545</v>
      </c>
      <c r="F38" s="270" t="s">
        <v>43</v>
      </c>
      <c r="G38" s="263"/>
      <c r="H38" s="261"/>
      <c r="I38" s="269">
        <f t="shared" si="7"/>
        <v>2</v>
      </c>
      <c r="J38" s="265">
        <f t="shared" si="8"/>
        <v>0</v>
      </c>
      <c r="K38" s="262">
        <f t="shared" si="6"/>
        <v>0</v>
      </c>
      <c r="L38" s="59"/>
    </row>
    <row r="39" spans="2:12" ht="9" customHeight="1" x14ac:dyDescent="0.25"/>
  </sheetData>
  <sheetProtection algorithmName="SHA-512" hashValue="er/2e+7Id0qH4Rr0vsXdwSXXlaJQSdXepimTCOp6Ufy32KpgH+4/tG1mKE8AnhAM6tLiND1tGSH7QdVSFUU87g==" saltValue="4u4Kv92zf8EBWM2tPsHFUg==" spinCount="100000" sheet="1" selectLockedCells="1"/>
  <conditionalFormatting sqref="D4">
    <cfRule type="cellIs" dxfId="149" priority="1" operator="equal">
      <formula>"Important"</formula>
    </cfRule>
    <cfRule type="cellIs" dxfId="148" priority="2" operator="equal">
      <formula>"Crucial"</formula>
    </cfRule>
    <cfRule type="cellIs" dxfId="147" priority="3" operator="equal">
      <formula>"N/A"</formula>
    </cfRule>
  </conditionalFormatting>
  <conditionalFormatting sqref="D6">
    <cfRule type="cellIs" dxfId="146" priority="4" operator="equal">
      <formula>"Important"</formula>
    </cfRule>
    <cfRule type="cellIs" dxfId="145" priority="5" operator="equal">
      <formula>"Crucial"</formula>
    </cfRule>
    <cfRule type="cellIs" dxfId="144" priority="6" operator="equal">
      <formula>"N/A"</formula>
    </cfRule>
  </conditionalFormatting>
  <conditionalFormatting sqref="D8:D10">
    <cfRule type="cellIs" dxfId="143" priority="13" operator="equal">
      <formula>"Important"</formula>
    </cfRule>
    <cfRule type="cellIs" dxfId="142" priority="14" operator="equal">
      <formula>"Crucial"</formula>
    </cfRule>
    <cfRule type="cellIs" dxfId="141" priority="15" operator="equal">
      <formula>"N/A"</formula>
    </cfRule>
  </conditionalFormatting>
  <conditionalFormatting sqref="D12:D17">
    <cfRule type="cellIs" dxfId="140" priority="10" operator="equal">
      <formula>"Important"</formula>
    </cfRule>
    <cfRule type="cellIs" dxfId="139" priority="11" operator="equal">
      <formula>"Crucial"</formula>
    </cfRule>
    <cfRule type="cellIs" dxfId="138" priority="12" operator="equal">
      <formula>"N/A"</formula>
    </cfRule>
  </conditionalFormatting>
  <conditionalFormatting sqref="D19:D38">
    <cfRule type="cellIs" dxfId="137" priority="7" operator="equal">
      <formula>"Important"</formula>
    </cfRule>
    <cfRule type="cellIs" dxfId="136" priority="8" operator="equal">
      <formula>"Crucial"</formula>
    </cfRule>
    <cfRule type="cellIs" dxfId="135" priority="9" operator="equal">
      <formula>"N/A"</formula>
    </cfRule>
  </conditionalFormatting>
  <conditionalFormatting sqref="F4">
    <cfRule type="cellIs" dxfId="134" priority="40" operator="equal">
      <formula>"Function Not Available"</formula>
    </cfRule>
    <cfRule type="cellIs" dxfId="133" priority="41" operator="equal">
      <formula>"Function Available"</formula>
    </cfRule>
    <cfRule type="cellIs" dxfId="132" priority="42" operator="equal">
      <formula>"Exception"</formula>
    </cfRule>
  </conditionalFormatting>
  <conditionalFormatting sqref="F6">
    <cfRule type="cellIs" dxfId="131" priority="37" operator="equal">
      <formula>"Function Not Available"</formula>
    </cfRule>
    <cfRule type="cellIs" dxfId="130" priority="38" operator="equal">
      <formula>"Function Available"</formula>
    </cfRule>
    <cfRule type="cellIs" dxfId="129" priority="39" operator="equal">
      <formula>"Exception"</formula>
    </cfRule>
  </conditionalFormatting>
  <conditionalFormatting sqref="F8:F38">
    <cfRule type="cellIs" dxfId="128" priority="34" operator="equal">
      <formula>"Function Not Available"</formula>
    </cfRule>
    <cfRule type="cellIs" dxfId="127" priority="35" operator="equal">
      <formula>"Function Available"</formula>
    </cfRule>
    <cfRule type="cellIs" dxfId="126" priority="36" operator="equal">
      <formula>"Exception"</formula>
    </cfRule>
  </conditionalFormatting>
  <dataValidations count="3">
    <dataValidation type="list" allowBlank="1" showInputMessage="1" showErrorMessage="1" sqref="F4 F6" xr:uid="{00000000-0002-0000-0A00-000000000000}">
      <formula1>AvailabilityType</formula1>
    </dataValidation>
    <dataValidation type="list" allowBlank="1" showInputMessage="1" showErrorMessage="1" sqref="D6 D12:D17 D19:D38 D8:D10 D4" xr:uid="{0F522541-3875-4A6B-9E95-65E218AD634A}">
      <formula1>SpecType</formula1>
    </dataValidation>
    <dataValidation type="list" allowBlank="1" showInputMessage="1" showErrorMessage="1" errorTitle="Invalid specification type" error="Please enter a Specification type from the drop-down list." sqref="F12:F17 F8:F10 F19:F38" xr:uid="{00000000-0002-0000-0A00-000002000000}">
      <formula1>AvailabilityType</formula1>
    </dataValidation>
  </dataValidations>
  <pageMargins left="0.7" right="0.7" top="0.75" bottom="0.75" header="0.3" footer="0.3"/>
  <pageSetup scale="48" fitToHeight="0" orientation="portrait" r:id="rId1"/>
  <headerFooter>
    <oddHeader>&amp;CGCCDA
&amp;F&amp;R&amp;A</oddHeader>
    <oddFooter>&amp;LTSSI Consulting LLC, March 2026&amp;CPage &amp;P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4</vt:i4>
      </vt:variant>
    </vt:vector>
  </HeadingPairs>
  <TitlesOfParts>
    <vt:vector size="27" baseType="lpstr">
      <vt:lpstr>Sheet1</vt:lpstr>
      <vt:lpstr>Evaluation Overview</vt:lpstr>
      <vt:lpstr>Support Data</vt:lpstr>
      <vt:lpstr>Alarm Monitoring</vt:lpstr>
      <vt:lpstr>General Interface</vt:lpstr>
      <vt:lpstr>Alerting Interface</vt:lpstr>
      <vt:lpstr>Alpha-Text Paging Interface</vt:lpstr>
      <vt:lpstr>AVL Interface</vt:lpstr>
      <vt:lpstr>CAD2CAD</vt:lpstr>
      <vt:lpstr>Dispatch Protocol Software</vt:lpstr>
      <vt:lpstr>E9-1-1 Interface</vt:lpstr>
      <vt:lpstr>Emergency Notification System</vt:lpstr>
      <vt:lpstr>FRMS</vt:lpstr>
      <vt:lpstr>Hazardous Materials</vt:lpstr>
      <vt:lpstr>Logging Recorder</vt:lpstr>
      <vt:lpstr>NextGen</vt:lpstr>
      <vt:lpstr>PSAP Master Clock</vt:lpstr>
      <vt:lpstr>Pictometry</vt:lpstr>
      <vt:lpstr>Radio System</vt:lpstr>
      <vt:lpstr>LERMS</vt:lpstr>
      <vt:lpstr>State NCIC Interface</vt:lpstr>
      <vt:lpstr>TDD-TTY</vt:lpstr>
      <vt:lpstr>Web CAD Interface</vt:lpstr>
      <vt:lpstr>AvailabilityData</vt:lpstr>
      <vt:lpstr>AvailabilityType</vt:lpstr>
      <vt:lpstr>SpecData</vt:lpstr>
      <vt:lpstr>SpecType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dc:creator>
  <cp:keywords/>
  <dc:description/>
  <cp:lastModifiedBy>Stephanie Howes</cp:lastModifiedBy>
  <cp:revision/>
  <cp:lastPrinted>2023-12-22T14:03:28Z</cp:lastPrinted>
  <dcterms:created xsi:type="dcterms:W3CDTF">2015-01-27T15:14:04Z</dcterms:created>
  <dcterms:modified xsi:type="dcterms:W3CDTF">2026-03-16T12:42:55Z</dcterms:modified>
  <cp:category/>
  <cp:contentStatus/>
</cp:coreProperties>
</file>